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INDICADORES" sheetId="1" r:id="rId1"/>
  </sheets>
  <definedNames>
    <definedName name="_xlnm.Print_Area" localSheetId="0">'INDICADORES'!$B$10:$R$176</definedName>
    <definedName name="_xlnm.Print_Titles" localSheetId="0">'INDICADORES'!$1:$9</definedName>
  </definedNames>
  <calcPr fullCalcOnLoad="1" refMode="R1C1"/>
</workbook>
</file>

<file path=xl/comments1.xml><?xml version="1.0" encoding="utf-8"?>
<comments xmlns="http://schemas.openxmlformats.org/spreadsheetml/2006/main">
  <authors>
    <author>ASOCIACI?N DE INDUSTRIAS ARG.DE CARNES </author>
    <author>Gerencia</author>
  </authors>
  <commentList>
    <comment ref="C5" authorId="0">
      <text>
        <r>
          <rPr>
            <b/>
            <sz val="8"/>
            <rFont val="Tahoma"/>
            <family val="0"/>
          </rPr>
          <t xml:space="preserve">VER GRAFICO
</t>
        </r>
        <r>
          <rPr>
            <sz val="8"/>
            <rFont val="Tahoma"/>
            <family val="0"/>
          </rPr>
          <t xml:space="preserve">
</t>
        </r>
      </text>
    </comment>
    <comment ref="N102" authorId="1">
      <text>
        <r>
          <rPr>
            <b/>
            <sz val="8"/>
            <rFont val="Tahoma"/>
            <family val="0"/>
          </rPr>
          <t>Gerencia: Estimado en función de la nueva clasificación ONCCA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<sst xmlns="http://schemas.openxmlformats.org/spreadsheetml/2006/main" count="65" uniqueCount="56">
  <si>
    <t>Faena</t>
  </si>
  <si>
    <t>Produc</t>
  </si>
  <si>
    <t>Participación (*)</t>
  </si>
  <si>
    <t>Exportacion</t>
  </si>
  <si>
    <t>Consumo</t>
  </si>
  <si>
    <t xml:space="preserve"> NOVILLO LINIERS</t>
  </si>
  <si>
    <t>Precio</t>
  </si>
  <si>
    <t>cabezas</t>
  </si>
  <si>
    <t>ción (*)</t>
  </si>
  <si>
    <t>%</t>
  </si>
  <si>
    <t>SAGPYA</t>
  </si>
  <si>
    <t>SENASA</t>
  </si>
  <si>
    <t>PRECIO</t>
  </si>
  <si>
    <t>Al</t>
  </si>
  <si>
    <t>miles</t>
  </si>
  <si>
    <t xml:space="preserve">miles </t>
  </si>
  <si>
    <t>kg/por</t>
  </si>
  <si>
    <t>$ kg</t>
  </si>
  <si>
    <t>u$s/</t>
  </si>
  <si>
    <t xml:space="preserve">Indice </t>
  </si>
  <si>
    <t xml:space="preserve">Peso </t>
  </si>
  <si>
    <t>Consumidor</t>
  </si>
  <si>
    <t>Perìodo</t>
  </si>
  <si>
    <t>SE NASA</t>
  </si>
  <si>
    <t>ONCCA</t>
  </si>
  <si>
    <t>ton</t>
  </si>
  <si>
    <t>FOB</t>
  </si>
  <si>
    <t>u$s</t>
  </si>
  <si>
    <t>habitante</t>
  </si>
  <si>
    <t>vivo</t>
  </si>
  <si>
    <t>kg.vivo</t>
  </si>
  <si>
    <t>1960=100</t>
  </si>
  <si>
    <t>Promedio</t>
  </si>
  <si>
    <t xml:space="preserve">$/kg </t>
  </si>
  <si>
    <t>peso res</t>
  </si>
  <si>
    <t>Novillos</t>
  </si>
  <si>
    <t>Hembras</t>
  </si>
  <si>
    <t>s/d</t>
  </si>
  <si>
    <t>34.4</t>
  </si>
  <si>
    <t>46.0</t>
  </si>
  <si>
    <t>36.4</t>
  </si>
  <si>
    <t>42.6</t>
  </si>
  <si>
    <t>35.0</t>
  </si>
  <si>
    <t>41.6</t>
  </si>
  <si>
    <t>37.2</t>
  </si>
  <si>
    <t>40.5</t>
  </si>
  <si>
    <t xml:space="preserve">Comparación respecto del acumulado / promedio del período </t>
  </si>
  <si>
    <t xml:space="preserve">Variación % </t>
  </si>
  <si>
    <t>2010/09</t>
  </si>
  <si>
    <t>2010/08</t>
  </si>
  <si>
    <t>2010/07</t>
  </si>
  <si>
    <t>2010/06</t>
  </si>
  <si>
    <t>2010/05</t>
  </si>
  <si>
    <t>Los precios minoristas surgen del promedio de seis cortes ( asado, bife angosto, cuadril, carne picada, nalga y paleta) de acuerdo a datos publicados por INDEC e IPCVA.</t>
  </si>
  <si>
    <t xml:space="preserve">E N E R O  D I C I E M B R E </t>
  </si>
  <si>
    <t>Nota: Los datos de FAENA de Vacunos se han corregido a partir de la serie histórida publicada por ONCCA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</si>
</sst>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 * #,##0.000_ ;_ * \-#,##0.0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%"/>
    <numFmt numFmtId="185" formatCode="_ * #,##0.000_ ;_ * \-#,##0.000_ ;_ * &quot;-&quot;???_ ;_ @_ "/>
    <numFmt numFmtId="186" formatCode="0.000000000"/>
    <numFmt numFmtId="187" formatCode="#,##0.000"/>
    <numFmt numFmtId="188" formatCode="0.0000000000"/>
    <numFmt numFmtId="189" formatCode="_ * #,##0_ ;_ * \-#,##0_ ;_ * &quot;-&quot;??_ ;_ @_ "/>
    <numFmt numFmtId="190" formatCode="mmmmm"/>
    <numFmt numFmtId="191" formatCode="_ * #,##0.0_ ;_ * \-#,##0.0_ ;_ * &quot;-&quot;??_ ;_ @_ "/>
    <numFmt numFmtId="192" formatCode="_ * #,##0.00_ ;_ * \-#,##0.00_ ;_ * &quot;-&quot;???_ ;_ @_ "/>
    <numFmt numFmtId="193" formatCode="_ * #,##0.0_ ;_ * \-#,##0.0_ ;_ * &quot;-&quot;???_ ;_ @_ "/>
    <numFmt numFmtId="194" formatCode="_ * #,##0_ ;_ * \-#,##0_ ;_ * &quot;-&quot;???_ ;_ @_ "/>
    <numFmt numFmtId="195" formatCode="#,##0.000_ ;\-#,##0.000\ "/>
    <numFmt numFmtId="196" formatCode="#,##0.00_ ;\-#,##0.00\ "/>
    <numFmt numFmtId="197" formatCode="#,##0.0_ ;\-#,##0.0\ "/>
    <numFmt numFmtId="198" formatCode="#,##0_ ;\-#,##0\ "/>
    <numFmt numFmtId="199" formatCode="#,##0.0000"/>
    <numFmt numFmtId="200" formatCode="_ [$€-2]\ * #,##0.00_ ;_ [$€-2]\ * \-#,##0.00_ ;_ [$€-2]\ * &quot;-&quot;??_ "/>
    <numFmt numFmtId="201" formatCode="_ [$€-2]\ * #,##0.000_ ;_ [$€-2]\ * \-#,##0.000_ ;_ [$€-2]\ * &quot;-&quot;??_ "/>
    <numFmt numFmtId="202" formatCode="#,##0.00000"/>
    <numFmt numFmtId="203" formatCode="[$-2C0A]dddd\,\ dd&quot; de &quot;mmmm&quot; de &quot;yyyy"/>
    <numFmt numFmtId="204" formatCode="[$-2C0A]hh:mm:ss\ AM/PM"/>
    <numFmt numFmtId="205" formatCode="#,##0.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178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177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Border="1" applyAlignment="1">
      <alignment horizontal="right"/>
    </xf>
    <xf numFmtId="2" fontId="0" fillId="0" borderId="17" xfId="0" applyNumberFormat="1" applyBorder="1" applyAlignment="1">
      <alignment/>
    </xf>
    <xf numFmtId="0" fontId="0" fillId="0" borderId="15" xfId="0" applyFont="1" applyBorder="1" applyAlignment="1">
      <alignment horizontal="right"/>
    </xf>
    <xf numFmtId="178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77" fontId="0" fillId="0" borderId="16" xfId="0" applyNumberFormat="1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17" fontId="0" fillId="0" borderId="15" xfId="0" applyNumberFormat="1" applyBorder="1" applyAlignment="1">
      <alignment horizontal="left"/>
    </xf>
    <xf numFmtId="0" fontId="6" fillId="0" borderId="4" xfId="0" applyFont="1" applyBorder="1" applyAlignment="1">
      <alignment/>
    </xf>
    <xf numFmtId="17" fontId="0" fillId="0" borderId="15" xfId="0" applyNumberFormat="1" applyFill="1" applyBorder="1" applyAlignment="1">
      <alignment horizontal="left"/>
    </xf>
    <xf numFmtId="0" fontId="0" fillId="0" borderId="16" xfId="0" applyFill="1" applyBorder="1" applyAlignment="1">
      <alignment/>
    </xf>
    <xf numFmtId="178" fontId="0" fillId="0" borderId="16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17" fontId="0" fillId="0" borderId="15" xfId="0" applyNumberFormat="1" applyFont="1" applyBorder="1" applyAlignment="1">
      <alignment horizontal="left"/>
    </xf>
    <xf numFmtId="178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17" fontId="0" fillId="0" borderId="15" xfId="0" applyNumberFormat="1" applyFont="1" applyFill="1" applyBorder="1" applyAlignment="1">
      <alignment horizontal="left"/>
    </xf>
    <xf numFmtId="17" fontId="3" fillId="0" borderId="15" xfId="0" applyNumberFormat="1" applyFont="1" applyFill="1" applyBorder="1" applyAlignment="1">
      <alignment horizontal="left"/>
    </xf>
    <xf numFmtId="1" fontId="0" fillId="0" borderId="16" xfId="0" applyNumberFormat="1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 horizontal="right"/>
    </xf>
    <xf numFmtId="17" fontId="6" fillId="0" borderId="15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189" fontId="0" fillId="0" borderId="16" xfId="18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17" fontId="6" fillId="0" borderId="20" xfId="0" applyNumberFormat="1" applyFont="1" applyFill="1" applyBorder="1" applyAlignment="1">
      <alignment horizontal="left"/>
    </xf>
    <xf numFmtId="1" fontId="0" fillId="0" borderId="10" xfId="0" applyNumberFormat="1" applyFont="1" applyBorder="1" applyAlignment="1">
      <alignment/>
    </xf>
    <xf numFmtId="178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17" fontId="6" fillId="0" borderId="4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78" fontId="6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6" fillId="0" borderId="13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17" fontId="3" fillId="0" borderId="22" xfId="0" applyNumberFormat="1" applyFont="1" applyFill="1" applyBorder="1" applyAlignment="1">
      <alignment horizontal="left"/>
    </xf>
    <xf numFmtId="1" fontId="0" fillId="0" borderId="2" xfId="0" applyNumberFormat="1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23" xfId="0" applyNumberFormat="1" applyFont="1" applyFill="1" applyBorder="1" applyAlignment="1">
      <alignment horizontal="right"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2" fontId="0" fillId="0" borderId="3" xfId="0" applyNumberFormat="1" applyFont="1" applyBorder="1" applyAlignment="1">
      <alignment/>
    </xf>
    <xf numFmtId="17" fontId="3" fillId="0" borderId="20" xfId="0" applyNumberFormat="1" applyFont="1" applyFill="1" applyBorder="1" applyAlignment="1">
      <alignment horizontal="left"/>
    </xf>
    <xf numFmtId="178" fontId="0" fillId="0" borderId="1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" fontId="5" fillId="0" borderId="4" xfId="0" applyNumberFormat="1" applyFont="1" applyFill="1" applyBorder="1" applyAlignment="1">
      <alignment horizontal="left"/>
    </xf>
    <xf numFmtId="178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7" fillId="0" borderId="0" xfId="0" applyFont="1" applyAlignment="1">
      <alignment/>
    </xf>
    <xf numFmtId="17" fontId="3" fillId="0" borderId="4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7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3" fontId="6" fillId="2" borderId="16" xfId="0" applyNumberFormat="1" applyFont="1" applyFill="1" applyBorder="1" applyAlignment="1">
      <alignment/>
    </xf>
    <xf numFmtId="0" fontId="0" fillId="3" borderId="0" xfId="0" applyFill="1" applyAlignment="1">
      <alignment/>
    </xf>
    <xf numFmtId="3" fontId="5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178" fontId="5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0" fillId="0" borderId="16" xfId="18" applyNumberFormat="1" applyBorder="1" applyAlignment="1">
      <alignment/>
    </xf>
    <xf numFmtId="0" fontId="0" fillId="0" borderId="4" xfId="0" applyFill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Fill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77" fontId="3" fillId="0" borderId="16" xfId="0" applyNumberFormat="1" applyFont="1" applyFill="1" applyBorder="1" applyAlignment="1">
      <alignment/>
    </xf>
    <xf numFmtId="178" fontId="3" fillId="0" borderId="1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4" fontId="6" fillId="0" borderId="0" xfId="0" applyNumberFormat="1" applyFont="1" applyFill="1" applyBorder="1" applyAlignment="1">
      <alignment horizontal="center"/>
    </xf>
    <xf numFmtId="187" fontId="0" fillId="0" borderId="0" xfId="0" applyNumberFormat="1" applyBorder="1" applyAlignment="1">
      <alignment/>
    </xf>
    <xf numFmtId="199" fontId="0" fillId="0" borderId="0" xfId="0" applyNumberFormat="1" applyBorder="1" applyAlignment="1">
      <alignment/>
    </xf>
    <xf numFmtId="176" fontId="5" fillId="0" borderId="13" xfId="0" applyNumberFormat="1" applyFont="1" applyFill="1" applyBorder="1" applyAlignment="1">
      <alignment/>
    </xf>
    <xf numFmtId="174" fontId="6" fillId="0" borderId="4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6" fillId="2" borderId="17" xfId="0" applyNumberFormat="1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78" fontId="3" fillId="2" borderId="16" xfId="0" applyNumberFormat="1" applyFont="1" applyFill="1" applyBorder="1" applyAlignment="1">
      <alignment/>
    </xf>
    <xf numFmtId="187" fontId="6" fillId="2" borderId="17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177" fontId="3" fillId="0" borderId="24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177" fontId="0" fillId="0" borderId="24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177" fontId="0" fillId="0" borderId="25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83" fontId="6" fillId="2" borderId="17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178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/>
    </xf>
    <xf numFmtId="178" fontId="3" fillId="2" borderId="28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178" fontId="3" fillId="0" borderId="17" xfId="0" applyNumberFormat="1" applyFont="1" applyFill="1" applyBorder="1" applyAlignment="1">
      <alignment/>
    </xf>
    <xf numFmtId="178" fontId="3" fillId="0" borderId="29" xfId="0" applyNumberFormat="1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8"/>
  <sheetViews>
    <sheetView tabSelected="1" zoomScale="75" zoomScaleNormal="75" workbookViewId="0" topLeftCell="A1">
      <pane xSplit="2" ySplit="9" topLeftCell="C1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70" sqref="J170"/>
    </sheetView>
  </sheetViews>
  <sheetFormatPr defaultColWidth="11.421875" defaultRowHeight="12.75"/>
  <cols>
    <col min="1" max="1" width="4.28125" style="0" customWidth="1"/>
    <col min="2" max="2" width="16.421875" style="0" customWidth="1"/>
    <col min="3" max="3" width="13.421875" style="0" customWidth="1"/>
    <col min="4" max="4" width="15.28125" style="0" customWidth="1"/>
    <col min="5" max="5" width="13.7109375" style="0" customWidth="1"/>
    <col min="6" max="6" width="9.8515625" style="0" customWidth="1"/>
    <col min="7" max="7" width="9.28125" style="0" customWidth="1"/>
    <col min="8" max="8" width="10.8515625" style="0" customWidth="1"/>
    <col min="9" max="9" width="10.28125" style="0" customWidth="1"/>
    <col min="10" max="10" width="14.57421875" style="0" customWidth="1"/>
    <col min="11" max="11" width="13.00390625" style="0" customWidth="1"/>
    <col min="12" max="12" width="9.8515625" style="0" customWidth="1"/>
    <col min="13" max="13" width="10.28125" style="0" customWidth="1"/>
    <col min="14" max="14" width="10.00390625" style="0" customWidth="1"/>
    <col min="15" max="15" width="10.140625" style="0" customWidth="1"/>
    <col min="16" max="16" width="10.28125" style="0" customWidth="1"/>
    <col min="17" max="17" width="10.00390625" style="0" customWidth="1"/>
    <col min="18" max="18" width="13.421875" style="0" customWidth="1"/>
    <col min="20" max="20" width="11.421875" style="5" customWidth="1"/>
  </cols>
  <sheetData>
    <row r="1" ht="12.75">
      <c r="D1" s="1"/>
    </row>
    <row r="2" ht="12.75"/>
    <row r="3" ht="12.75"/>
    <row r="4" ht="13.5" thickBot="1"/>
    <row r="5" spans="2:55" ht="12.75">
      <c r="B5" s="2"/>
      <c r="C5" s="190" t="s">
        <v>0</v>
      </c>
      <c r="D5" s="191"/>
      <c r="E5" s="3" t="s">
        <v>1</v>
      </c>
      <c r="F5" s="195" t="s">
        <v>2</v>
      </c>
      <c r="G5" s="191"/>
      <c r="H5" s="190" t="s">
        <v>3</v>
      </c>
      <c r="I5" s="195"/>
      <c r="J5" s="195"/>
      <c r="K5" s="191"/>
      <c r="L5" s="193" t="s">
        <v>4</v>
      </c>
      <c r="M5" s="194"/>
      <c r="N5" s="195" t="s">
        <v>5</v>
      </c>
      <c r="O5" s="195"/>
      <c r="P5" s="195"/>
      <c r="Q5" s="195"/>
      <c r="R5" s="4" t="s">
        <v>6</v>
      </c>
      <c r="S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2:18" ht="12.75">
      <c r="B6" s="6"/>
      <c r="C6" s="196" t="s">
        <v>7</v>
      </c>
      <c r="D6" s="197"/>
      <c r="E6" s="7" t="s">
        <v>8</v>
      </c>
      <c r="F6" s="198" t="s">
        <v>9</v>
      </c>
      <c r="G6" s="199"/>
      <c r="H6" s="200" t="s">
        <v>10</v>
      </c>
      <c r="I6" s="200"/>
      <c r="J6" s="201" t="s">
        <v>11</v>
      </c>
      <c r="K6" s="201"/>
      <c r="L6" s="8"/>
      <c r="M6" s="9"/>
      <c r="N6" s="192" t="s">
        <v>12</v>
      </c>
      <c r="O6" s="192"/>
      <c r="P6" s="192"/>
      <c r="Q6" s="10"/>
      <c r="R6" s="11" t="s">
        <v>13</v>
      </c>
    </row>
    <row r="7" spans="2:18" ht="12.75">
      <c r="B7" s="6"/>
      <c r="C7" s="12"/>
      <c r="D7" s="12"/>
      <c r="E7" s="12" t="s">
        <v>14</v>
      </c>
      <c r="F7" s="13"/>
      <c r="G7" s="14"/>
      <c r="H7" s="15"/>
      <c r="I7" s="16" t="s">
        <v>6</v>
      </c>
      <c r="J7" s="12"/>
      <c r="K7" s="12" t="s">
        <v>15</v>
      </c>
      <c r="L7" s="12" t="s">
        <v>14</v>
      </c>
      <c r="M7" s="12" t="s">
        <v>16</v>
      </c>
      <c r="N7" s="12" t="s">
        <v>17</v>
      </c>
      <c r="O7" s="12" t="s">
        <v>18</v>
      </c>
      <c r="P7" s="12" t="s">
        <v>19</v>
      </c>
      <c r="Q7" s="13" t="s">
        <v>20</v>
      </c>
      <c r="R7" s="17" t="s">
        <v>21</v>
      </c>
    </row>
    <row r="8" spans="2:18" ht="12.75">
      <c r="B8" s="6" t="s">
        <v>22</v>
      </c>
      <c r="C8" s="16" t="s">
        <v>23</v>
      </c>
      <c r="D8" s="16" t="s">
        <v>24</v>
      </c>
      <c r="E8" s="16" t="s">
        <v>25</v>
      </c>
      <c r="F8" s="8"/>
      <c r="G8" s="9"/>
      <c r="H8" s="15" t="s">
        <v>25</v>
      </c>
      <c r="I8" s="16" t="s">
        <v>26</v>
      </c>
      <c r="J8" s="16" t="s">
        <v>25</v>
      </c>
      <c r="K8" s="16" t="s">
        <v>27</v>
      </c>
      <c r="L8" s="16" t="s">
        <v>25</v>
      </c>
      <c r="M8" s="16" t="s">
        <v>28</v>
      </c>
      <c r="N8" s="16" t="s">
        <v>29</v>
      </c>
      <c r="O8" s="16" t="s">
        <v>30</v>
      </c>
      <c r="P8" s="16" t="s">
        <v>31</v>
      </c>
      <c r="Q8" s="13" t="s">
        <v>32</v>
      </c>
      <c r="R8" s="18" t="s">
        <v>33</v>
      </c>
    </row>
    <row r="9" spans="2:18" ht="12.75">
      <c r="B9" s="6"/>
      <c r="C9" s="16"/>
      <c r="D9" s="16"/>
      <c r="E9" s="16" t="s">
        <v>34</v>
      </c>
      <c r="F9" s="12" t="s">
        <v>35</v>
      </c>
      <c r="G9" s="12" t="s">
        <v>36</v>
      </c>
      <c r="H9" s="15" t="s">
        <v>34</v>
      </c>
      <c r="I9" s="16"/>
      <c r="J9" s="16" t="s">
        <v>34</v>
      </c>
      <c r="K9" s="16"/>
      <c r="L9" s="16" t="s">
        <v>34</v>
      </c>
      <c r="M9" s="16"/>
      <c r="N9" s="16"/>
      <c r="O9" s="16"/>
      <c r="P9" s="16"/>
      <c r="Q9" s="13"/>
      <c r="R9" s="19"/>
    </row>
    <row r="10" spans="2:18" ht="12.75">
      <c r="B10" s="20">
        <v>1990</v>
      </c>
      <c r="C10" s="21"/>
      <c r="D10" s="22">
        <v>13423578</v>
      </c>
      <c r="E10" s="22">
        <v>3007</v>
      </c>
      <c r="F10" s="21">
        <v>41.2</v>
      </c>
      <c r="G10" s="21">
        <v>40.7</v>
      </c>
      <c r="H10" s="22">
        <v>474078</v>
      </c>
      <c r="I10" s="22">
        <v>1539</v>
      </c>
      <c r="J10" s="22"/>
      <c r="K10" s="21"/>
      <c r="L10" s="22">
        <v>2533</v>
      </c>
      <c r="M10" s="23">
        <v>81</v>
      </c>
      <c r="N10" s="24">
        <v>2906.6</v>
      </c>
      <c r="O10" s="25">
        <v>0.66</v>
      </c>
      <c r="P10" s="26">
        <v>73.1</v>
      </c>
      <c r="Q10" s="21">
        <v>460</v>
      </c>
      <c r="R10" s="27" t="s">
        <v>37</v>
      </c>
    </row>
    <row r="11" spans="2:18" ht="12.75">
      <c r="B11" s="20">
        <v>1991</v>
      </c>
      <c r="C11" s="21"/>
      <c r="D11" s="22">
        <v>13516311</v>
      </c>
      <c r="E11" s="22">
        <v>2854</v>
      </c>
      <c r="F11" s="21">
        <v>37.2</v>
      </c>
      <c r="G11" s="21">
        <v>41.1</v>
      </c>
      <c r="H11" s="22">
        <v>407333</v>
      </c>
      <c r="I11" s="22">
        <v>1793</v>
      </c>
      <c r="J11" s="22"/>
      <c r="K11" s="21"/>
      <c r="L11" s="22">
        <v>2447</v>
      </c>
      <c r="M11" s="23">
        <v>76</v>
      </c>
      <c r="N11" s="24">
        <v>7013.3</v>
      </c>
      <c r="O11" s="25">
        <v>0.753</v>
      </c>
      <c r="P11" s="26">
        <v>82.4</v>
      </c>
      <c r="Q11" s="21">
        <v>455</v>
      </c>
      <c r="R11" s="27" t="s">
        <v>37</v>
      </c>
    </row>
    <row r="12" spans="2:18" ht="12.75">
      <c r="B12" s="20">
        <v>1992</v>
      </c>
      <c r="C12" s="21"/>
      <c r="D12" s="22">
        <v>12823907</v>
      </c>
      <c r="E12" s="22">
        <v>2723</v>
      </c>
      <c r="F12" s="21">
        <v>38.3</v>
      </c>
      <c r="G12" s="21">
        <v>40.8</v>
      </c>
      <c r="H12" s="22">
        <v>297118</v>
      </c>
      <c r="I12" s="22">
        <v>1947</v>
      </c>
      <c r="J12" s="22"/>
      <c r="K12" s="21"/>
      <c r="L12" s="22">
        <v>2426</v>
      </c>
      <c r="M12" s="23">
        <v>74.4</v>
      </c>
      <c r="N12" s="21">
        <v>0.824</v>
      </c>
      <c r="O12" s="25">
        <v>0.866</v>
      </c>
      <c r="P12" s="26">
        <v>100.1</v>
      </c>
      <c r="Q12" s="21">
        <v>454</v>
      </c>
      <c r="R12" s="27">
        <v>3.84</v>
      </c>
    </row>
    <row r="13" spans="2:18" ht="12.75">
      <c r="B13" s="20">
        <v>1993</v>
      </c>
      <c r="C13" s="21"/>
      <c r="D13" s="22">
        <v>13216597</v>
      </c>
      <c r="E13" s="22">
        <v>2787</v>
      </c>
      <c r="F13" s="21">
        <v>37.9</v>
      </c>
      <c r="G13" s="21">
        <v>40.4</v>
      </c>
      <c r="H13" s="22">
        <v>281133</v>
      </c>
      <c r="I13" s="22">
        <v>1979</v>
      </c>
      <c r="J13" s="22"/>
      <c r="K13" s="21"/>
      <c r="L13" s="22">
        <v>2506</v>
      </c>
      <c r="M13" s="23">
        <v>76.4</v>
      </c>
      <c r="N13" s="21">
        <v>0.772</v>
      </c>
      <c r="O13" s="25">
        <v>0.774</v>
      </c>
      <c r="P13" s="26">
        <v>86.2</v>
      </c>
      <c r="Q13" s="21">
        <v>449</v>
      </c>
      <c r="R13" s="27">
        <v>3.94</v>
      </c>
    </row>
    <row r="14" spans="2:18" ht="12.75">
      <c r="B14" s="20">
        <v>1994</v>
      </c>
      <c r="C14" s="21"/>
      <c r="D14" s="22">
        <v>13200357</v>
      </c>
      <c r="E14" s="22">
        <v>2762</v>
      </c>
      <c r="F14" s="21">
        <v>37.9</v>
      </c>
      <c r="G14" s="21">
        <v>41.7</v>
      </c>
      <c r="H14" s="22">
        <v>376776</v>
      </c>
      <c r="I14" s="22">
        <v>1930</v>
      </c>
      <c r="J14" s="22"/>
      <c r="K14" s="21"/>
      <c r="L14" s="22">
        <v>2385</v>
      </c>
      <c r="M14" s="23">
        <v>72.5</v>
      </c>
      <c r="N14" s="21">
        <v>0.755</v>
      </c>
      <c r="O14" s="25">
        <v>0.757</v>
      </c>
      <c r="P14" s="26">
        <v>82.5</v>
      </c>
      <c r="Q14" s="21">
        <v>443</v>
      </c>
      <c r="R14" s="27">
        <v>3.91</v>
      </c>
    </row>
    <row r="15" spans="2:18" ht="12.75">
      <c r="B15" s="20">
        <v>1995</v>
      </c>
      <c r="C15" s="22">
        <v>10100398</v>
      </c>
      <c r="D15" s="22">
        <v>12857408</v>
      </c>
      <c r="E15" s="22">
        <v>2688</v>
      </c>
      <c r="F15" s="21">
        <v>37.5</v>
      </c>
      <c r="G15" s="21">
        <v>43.2</v>
      </c>
      <c r="H15" s="22">
        <v>520062</v>
      </c>
      <c r="I15" s="22">
        <v>1932</v>
      </c>
      <c r="J15" s="22"/>
      <c r="K15" s="28">
        <v>1101366</v>
      </c>
      <c r="L15" s="22">
        <v>2168</v>
      </c>
      <c r="M15" s="23">
        <v>64.5</v>
      </c>
      <c r="N15" s="21">
        <v>0.792</v>
      </c>
      <c r="O15" s="25">
        <v>0.791</v>
      </c>
      <c r="P15" s="26">
        <v>81</v>
      </c>
      <c r="Q15" s="21">
        <v>441</v>
      </c>
      <c r="R15" s="27">
        <v>3.89</v>
      </c>
    </row>
    <row r="16" spans="2:18" ht="12.75">
      <c r="B16" s="20">
        <v>1996</v>
      </c>
      <c r="C16" s="22">
        <v>10550624</v>
      </c>
      <c r="D16" s="22">
        <v>12916716</v>
      </c>
      <c r="E16" s="22">
        <v>2694</v>
      </c>
      <c r="F16" s="29" t="s">
        <v>38</v>
      </c>
      <c r="G16" s="29" t="s">
        <v>39</v>
      </c>
      <c r="H16" s="22">
        <v>476640</v>
      </c>
      <c r="I16" s="22">
        <v>1785</v>
      </c>
      <c r="J16" s="22"/>
      <c r="K16" s="28">
        <v>956865</v>
      </c>
      <c r="L16" s="22">
        <v>2217</v>
      </c>
      <c r="M16" s="23">
        <v>65.1</v>
      </c>
      <c r="N16" s="21">
        <v>0.812</v>
      </c>
      <c r="O16" s="25">
        <v>0.82</v>
      </c>
      <c r="P16" s="26">
        <v>82.8</v>
      </c>
      <c r="Q16" s="21">
        <v>442</v>
      </c>
      <c r="R16" s="27">
        <v>3.53</v>
      </c>
    </row>
    <row r="17" spans="2:18" ht="12.75">
      <c r="B17" s="20">
        <v>1997</v>
      </c>
      <c r="C17" s="22">
        <v>10787815</v>
      </c>
      <c r="D17" s="22">
        <v>12794717</v>
      </c>
      <c r="E17" s="22">
        <v>2712</v>
      </c>
      <c r="F17" s="29" t="s">
        <v>40</v>
      </c>
      <c r="G17" s="29" t="s">
        <v>41</v>
      </c>
      <c r="H17" s="22">
        <v>437852</v>
      </c>
      <c r="I17" s="22">
        <v>1862</v>
      </c>
      <c r="J17" s="22"/>
      <c r="K17" s="28">
        <v>894353</v>
      </c>
      <c r="L17" s="22">
        <v>2274</v>
      </c>
      <c r="M17" s="23">
        <v>66.3</v>
      </c>
      <c r="N17" s="25">
        <v>0.91</v>
      </c>
      <c r="O17" s="25">
        <v>0.912</v>
      </c>
      <c r="P17" s="26">
        <v>91.5</v>
      </c>
      <c r="Q17" s="21">
        <v>442</v>
      </c>
      <c r="R17" s="27">
        <v>3.64</v>
      </c>
    </row>
    <row r="18" spans="2:18" ht="12.75">
      <c r="B18" s="20">
        <v>1998</v>
      </c>
      <c r="C18" s="22">
        <v>9478345</v>
      </c>
      <c r="D18" s="22">
        <v>11267726</v>
      </c>
      <c r="E18" s="22">
        <v>2469</v>
      </c>
      <c r="F18" s="29" t="s">
        <v>42</v>
      </c>
      <c r="G18" s="29" t="s">
        <v>43</v>
      </c>
      <c r="H18" s="22">
        <v>295867</v>
      </c>
      <c r="I18" s="28">
        <v>2213</v>
      </c>
      <c r="J18" s="22"/>
      <c r="K18" s="28">
        <v>723695</v>
      </c>
      <c r="L18" s="22">
        <v>2173</v>
      </c>
      <c r="M18" s="23">
        <v>62.5</v>
      </c>
      <c r="N18" s="25">
        <v>1.056</v>
      </c>
      <c r="O18" s="25">
        <v>1.058</v>
      </c>
      <c r="P18" s="26">
        <v>109.4</v>
      </c>
      <c r="Q18" s="21">
        <v>445</v>
      </c>
      <c r="R18" s="27">
        <v>4.27</v>
      </c>
    </row>
    <row r="19" spans="2:18" ht="12.75">
      <c r="B19" s="20">
        <v>1999</v>
      </c>
      <c r="C19" s="22">
        <v>10434507</v>
      </c>
      <c r="D19" s="22">
        <v>12145029</v>
      </c>
      <c r="E19" s="22">
        <v>2720</v>
      </c>
      <c r="F19" s="29" t="s">
        <v>44</v>
      </c>
      <c r="G19" s="29" t="s">
        <v>45</v>
      </c>
      <c r="H19" s="22">
        <v>347599</v>
      </c>
      <c r="I19" s="28">
        <v>1904.79</v>
      </c>
      <c r="J19" s="22"/>
      <c r="K19" s="28">
        <v>732757</v>
      </c>
      <c r="L19" s="22">
        <v>2372</v>
      </c>
      <c r="M19" s="23">
        <v>67.8</v>
      </c>
      <c r="N19" s="25">
        <v>0.788</v>
      </c>
      <c r="O19" s="25">
        <v>0.79</v>
      </c>
      <c r="P19" s="26">
        <v>85.4</v>
      </c>
      <c r="Q19" s="21">
        <v>451</v>
      </c>
      <c r="R19" s="27">
        <v>3.84</v>
      </c>
    </row>
    <row r="20" spans="2:18" ht="12.75">
      <c r="B20" s="20">
        <v>2000</v>
      </c>
      <c r="C20" s="22">
        <v>10727650</v>
      </c>
      <c r="D20" s="22">
        <v>12400039</v>
      </c>
      <c r="E20" s="22">
        <v>2718</v>
      </c>
      <c r="F20" s="21">
        <v>33.7</v>
      </c>
      <c r="G20" s="21">
        <v>42.5</v>
      </c>
      <c r="H20" s="22">
        <v>342092</v>
      </c>
      <c r="I20" s="28">
        <v>1806</v>
      </c>
      <c r="J20" s="22"/>
      <c r="K20" s="28">
        <v>706305</v>
      </c>
      <c r="L20" s="22">
        <v>2376</v>
      </c>
      <c r="M20" s="23">
        <v>66.5</v>
      </c>
      <c r="N20" s="25">
        <v>0.866</v>
      </c>
      <c r="O20" s="25">
        <v>0.868</v>
      </c>
      <c r="P20" s="26">
        <v>89.6</v>
      </c>
      <c r="Q20" s="21">
        <v>450</v>
      </c>
      <c r="R20" s="30">
        <v>3.9</v>
      </c>
    </row>
    <row r="21" spans="2:18" ht="12.75">
      <c r="B21" s="31">
        <v>2001</v>
      </c>
      <c r="C21" s="22">
        <f>+(SUM(C32:C43))</f>
        <v>9777841</v>
      </c>
      <c r="D21" s="22">
        <v>11584250</v>
      </c>
      <c r="E21" s="22">
        <v>2461</v>
      </c>
      <c r="F21" s="32">
        <f>+AVERAGE(F32:F43)</f>
        <v>30.624999999999996</v>
      </c>
      <c r="G21" s="32">
        <f>+AVERAGE(G32:G43)</f>
        <v>42.083333333333336</v>
      </c>
      <c r="H21" s="22">
        <f>+(SUM(H32:H43))</f>
        <v>152465</v>
      </c>
      <c r="I21" s="22">
        <v>1414</v>
      </c>
      <c r="J21" s="28">
        <f>+(SUM(J32:J43))</f>
        <v>165740.5</v>
      </c>
      <c r="K21" s="28">
        <f>+(SUM(K32:K43))</f>
        <v>266589</v>
      </c>
      <c r="L21" s="22">
        <f>+(SUM(L32:L43))</f>
        <v>2307</v>
      </c>
      <c r="M21" s="33">
        <v>63.9</v>
      </c>
      <c r="N21" s="32">
        <f>+AVERAGE(N32:N43)</f>
        <v>0.7676666666666668</v>
      </c>
      <c r="O21" s="34">
        <f>+AVERAGE(O32:O43)</f>
        <v>0.76925</v>
      </c>
      <c r="P21" s="35">
        <f>+AVERAGE(P32:P43)</f>
        <v>81.16666666666667</v>
      </c>
      <c r="Q21" s="35">
        <f>+AVERAGE(Q32:Q43)</f>
        <v>454.6666666666667</v>
      </c>
      <c r="R21" s="30">
        <f>+AVERAGE(R32:R43)</f>
        <v>3.5291666666666672</v>
      </c>
    </row>
    <row r="22" spans="2:18" ht="12.75">
      <c r="B22" s="31">
        <v>2002</v>
      </c>
      <c r="C22" s="22">
        <f>+(SUM(C48:C59))</f>
        <v>9494281</v>
      </c>
      <c r="D22" s="22">
        <v>11499447</v>
      </c>
      <c r="E22" s="22">
        <v>2525.5240000000003</v>
      </c>
      <c r="F22" s="32">
        <f>+AVERAGE(F48:F59)</f>
        <v>32.509866741364654</v>
      </c>
      <c r="G22" s="32">
        <f>+AVERAGE(G48:G59)</f>
        <v>43.144599712422085</v>
      </c>
      <c r="H22" s="22">
        <f>+(SUM(H48:H59))</f>
        <v>347047.965438</v>
      </c>
      <c r="I22" s="22">
        <v>1289</v>
      </c>
      <c r="J22" s="28">
        <f>+(SUM(J48:J59))</f>
        <v>348394.5</v>
      </c>
      <c r="K22" s="28">
        <f>+(SUM(K48:K59))</f>
        <v>480884</v>
      </c>
      <c r="L22" s="22">
        <f>+(SUM(L48:L59))</f>
        <v>2145.0062864384004</v>
      </c>
      <c r="M22" s="33">
        <v>59.6</v>
      </c>
      <c r="N22" s="36">
        <f>+AVERAGE(N48:N59)</f>
        <v>1.5204166666666667</v>
      </c>
      <c r="O22" s="34">
        <f>+AVERAGE(O48:O59)</f>
        <v>0.4733873550722854</v>
      </c>
      <c r="P22" s="35">
        <f>+AVERAGE(P48:P59)</f>
        <v>89.17933563365284</v>
      </c>
      <c r="Q22" s="35">
        <f>+AVERAGE(Q48:Q59)</f>
        <v>453.3333333333333</v>
      </c>
      <c r="R22" s="30">
        <f>+AVERAGE(R48:R59)</f>
        <v>4.8999999999999995</v>
      </c>
    </row>
    <row r="23" spans="2:18" ht="12.75">
      <c r="B23" s="31">
        <v>2003</v>
      </c>
      <c r="C23" s="22">
        <f>+(SUM(C63:C74))</f>
        <v>10239325</v>
      </c>
      <c r="D23" s="22">
        <v>12531634</v>
      </c>
      <c r="E23" s="22">
        <v>2663.8393752958464</v>
      </c>
      <c r="F23" s="32">
        <f>+AVERAGE(F63:F74)</f>
        <v>30.679968039130113</v>
      </c>
      <c r="G23" s="32">
        <f>+AVERAGE(G63:G74)</f>
        <v>44.25936604097516</v>
      </c>
      <c r="H23" s="22">
        <f>+(SUM(H63:H74))</f>
        <v>378308.00022349984</v>
      </c>
      <c r="I23" s="22">
        <v>1467</v>
      </c>
      <c r="J23" s="28">
        <f>+(SUM(J63:J74))</f>
        <v>393423.5</v>
      </c>
      <c r="K23" s="28">
        <f>+(SUM(K63:K74))</f>
        <v>633192</v>
      </c>
      <c r="L23" s="22">
        <f>+(SUM(L63:L74))</f>
        <v>2284.701023497063</v>
      </c>
      <c r="M23" s="32">
        <f aca="true" t="shared" si="0" ref="M23:R23">+AVERAGE(M63:M74)</f>
        <v>61.46666666666666</v>
      </c>
      <c r="N23" s="36">
        <f t="shared" si="0"/>
        <v>1.9020833333333333</v>
      </c>
      <c r="O23" s="36">
        <f t="shared" si="0"/>
        <v>0.6436136784453825</v>
      </c>
      <c r="P23" s="35">
        <f t="shared" si="0"/>
        <v>96.64045308125655</v>
      </c>
      <c r="Q23" s="35">
        <f t="shared" si="0"/>
        <v>448.5</v>
      </c>
      <c r="R23" s="30">
        <f t="shared" si="0"/>
        <v>6.116699999999999</v>
      </c>
    </row>
    <row r="24" spans="2:18" ht="12.75">
      <c r="B24" s="31">
        <v>2004</v>
      </c>
      <c r="C24" s="22">
        <f>+SUM(C78:C89)</f>
        <v>12028547</v>
      </c>
      <c r="D24" s="22">
        <v>14294989.5</v>
      </c>
      <c r="E24" s="22">
        <v>3024.059574440116</v>
      </c>
      <c r="F24" s="32">
        <f>+AVERAGE(F78:F89)</f>
        <v>29.45289329865381</v>
      </c>
      <c r="G24" s="32">
        <f>+AVERAGE(G78:G89)</f>
        <v>46.37070960801132</v>
      </c>
      <c r="H24" s="22">
        <f>+SUM(H78:H89)</f>
        <v>631039</v>
      </c>
      <c r="I24" s="22">
        <v>1536</v>
      </c>
      <c r="J24" s="28">
        <f>+SUM(J78:J89)</f>
        <v>632056</v>
      </c>
      <c r="K24" s="28">
        <f>+SUM(K78:K89)</f>
        <v>1053070</v>
      </c>
      <c r="L24" s="22">
        <f>+SUM(L78:L89)</f>
        <v>2394</v>
      </c>
      <c r="M24" s="32">
        <v>64.23</v>
      </c>
      <c r="N24" s="36">
        <f>+AVERAGE(N78:N89)</f>
        <v>1.9974999999999998</v>
      </c>
      <c r="O24" s="36">
        <f>+AVERAGE(O78:O89)</f>
        <v>0.683227391948911</v>
      </c>
      <c r="P24" s="35">
        <f>+AVERAGE(P78:P89)</f>
        <v>94.85833333333333</v>
      </c>
      <c r="Q24" s="35">
        <f>+AVERAGE(Q78:Q89)</f>
        <v>452.4166666666667</v>
      </c>
      <c r="R24" s="30">
        <f>+AVERAGE(R78:R89)</f>
        <v>6.541666666666667</v>
      </c>
    </row>
    <row r="25" spans="2:20" s="38" customFormat="1" ht="15" customHeight="1">
      <c r="B25" s="31">
        <v>2005</v>
      </c>
      <c r="C25" s="22">
        <f>+SUM(C91:C102)</f>
        <v>12030425</v>
      </c>
      <c r="D25" s="22">
        <v>14251709</v>
      </c>
      <c r="E25" s="22">
        <v>3132</v>
      </c>
      <c r="F25" s="32">
        <f>+AVERAGE(F91:F102)</f>
        <v>32.57710240432481</v>
      </c>
      <c r="G25" s="32">
        <f>+AVERAGE(G91:G102)</f>
        <v>43.18042986587228</v>
      </c>
      <c r="H25" s="22">
        <f>+SUM(H91:H102)</f>
        <v>771427</v>
      </c>
      <c r="I25" s="22">
        <v>1679</v>
      </c>
      <c r="J25" s="28">
        <f>+SUM(J91:J102)</f>
        <v>775214.5</v>
      </c>
      <c r="K25" s="28">
        <f>+SUM(K91:K102)</f>
        <v>1389119</v>
      </c>
      <c r="L25" s="28">
        <f>+SUM(L91:L102)</f>
        <v>2362</v>
      </c>
      <c r="M25" s="32">
        <v>61.17</v>
      </c>
      <c r="N25" s="36">
        <f>+AVERAGE(N91:N102)</f>
        <v>2.2548333333333335</v>
      </c>
      <c r="O25" s="36">
        <f>+AVERAGE(O91:O102)</f>
        <v>0.7872794167560967</v>
      </c>
      <c r="P25" s="35">
        <f>+AVERAGE(P91:P102)</f>
        <v>98.55</v>
      </c>
      <c r="Q25" s="35">
        <v>457</v>
      </c>
      <c r="R25" s="37">
        <f>+AVERAGE(R91:R102)</f>
        <v>7.868158333333334</v>
      </c>
      <c r="T25" s="51"/>
    </row>
    <row r="26" spans="2:20" s="38" customFormat="1" ht="12" customHeight="1">
      <c r="B26" s="31">
        <v>2006</v>
      </c>
      <c r="C26" s="22">
        <f>SUM(C104:C115)</f>
        <v>11402975</v>
      </c>
      <c r="D26" s="22">
        <v>13438696</v>
      </c>
      <c r="E26" s="22">
        <v>3039.585</v>
      </c>
      <c r="F26" s="32">
        <f>+AVERAGE(F104:F115)</f>
        <v>28.10314387471209</v>
      </c>
      <c r="G26" s="32">
        <f>+AVERAGE(G104:G115)</f>
        <v>41.528198914384596</v>
      </c>
      <c r="H26" s="22">
        <f>SUM(H104:H115)</f>
        <v>565057</v>
      </c>
      <c r="I26" s="22">
        <f>+AVERAGE(I104:I115)</f>
        <v>2269.75</v>
      </c>
      <c r="J26" s="28">
        <f>SUM(J104:J115)</f>
        <v>568433.5</v>
      </c>
      <c r="K26" s="28">
        <f>SUM(K104:K115)</f>
        <v>1312911</v>
      </c>
      <c r="L26" s="28">
        <f>SUM(L104:L115)</f>
        <v>2468.199</v>
      </c>
      <c r="M26" s="32">
        <f>+AVERAGE(M104:M115)</f>
        <v>63.64166666666666</v>
      </c>
      <c r="N26" s="36">
        <v>2.332</v>
      </c>
      <c r="O26" s="36">
        <f>+AVERAGE(O104:O115)</f>
        <v>0.8956563955843168</v>
      </c>
      <c r="P26" s="35">
        <f>+AVERAGE(P104:P115)</f>
        <v>92.78614988368228</v>
      </c>
      <c r="Q26" s="35">
        <f>+AVERAGE(Q104:Q115)</f>
        <v>482.1666666666667</v>
      </c>
      <c r="R26" s="37">
        <f>+AVERAGE(R104:R115)</f>
        <v>8.881953333333334</v>
      </c>
      <c r="T26" s="51"/>
    </row>
    <row r="27" spans="2:20" s="39" customFormat="1" ht="12.75" customHeight="1">
      <c r="B27" s="31">
        <v>2007</v>
      </c>
      <c r="C27" s="22">
        <f>SUM(C117:C128)</f>
        <v>12633388</v>
      </c>
      <c r="D27" s="22">
        <v>14973167</v>
      </c>
      <c r="E27" s="22">
        <v>3216.5919999999996</v>
      </c>
      <c r="F27" s="32">
        <f>+AVERAGE(F117:F128)</f>
        <v>23.744612270448936</v>
      </c>
      <c r="G27" s="32">
        <f>+AVERAGE(G117:G128)</f>
        <v>47.4062001631844</v>
      </c>
      <c r="H27" s="22">
        <f>SUM(H117:H128)</f>
        <v>539016</v>
      </c>
      <c r="I27" s="22">
        <f>+AVERAGE(I117:I128)</f>
        <v>2385.567487741047</v>
      </c>
      <c r="J27" s="28">
        <f>SUM(J117:J128)</f>
        <v>542205.5</v>
      </c>
      <c r="K27" s="28">
        <f>SUM(K117:K128)</f>
        <v>1449604</v>
      </c>
      <c r="L27" s="28">
        <f>SUM(L117:L128)</f>
        <v>2678</v>
      </c>
      <c r="M27" s="32">
        <f>+AVERAGE(M117:M128)</f>
        <v>68.72083333333333</v>
      </c>
      <c r="N27" s="36">
        <v>2.651</v>
      </c>
      <c r="O27" s="36">
        <f>+AVERAGE(O117:O128)</f>
        <v>0.990605294447104</v>
      </c>
      <c r="P27" s="35">
        <f>+AVERAGE(P117:P128)</f>
        <v>94.77499999999999</v>
      </c>
      <c r="Q27" s="35">
        <f>+AVERAGE(Q117:Q128)</f>
        <v>480.0833333333333</v>
      </c>
      <c r="R27" s="37">
        <f>+AVERAGE(R117:R128)</f>
        <v>9.3725</v>
      </c>
      <c r="T27" s="132"/>
    </row>
    <row r="28" spans="2:20" s="39" customFormat="1" ht="12.75" customHeight="1">
      <c r="B28" s="31">
        <v>2008</v>
      </c>
      <c r="C28" s="22">
        <f>+C130+C131+C132+C133+C134+C135+C136+C137+C138+C139+C140+C141</f>
        <v>12209820</v>
      </c>
      <c r="D28" s="22">
        <v>14669271</v>
      </c>
      <c r="E28" s="22">
        <v>3112.231</v>
      </c>
      <c r="F28" s="32">
        <v>21.88</v>
      </c>
      <c r="G28" s="32">
        <v>48.6</v>
      </c>
      <c r="H28" s="22">
        <f>+H130+H131+H132+H133+H134+H135+H136+H137+H138+H139+H140+H141</f>
        <v>429361</v>
      </c>
      <c r="I28" s="22">
        <v>3462</v>
      </c>
      <c r="J28" s="28">
        <f>+J130+J131+J132+J133+J134+J135+J136+J137+J138+J139+J140+J141</f>
        <v>434730.5</v>
      </c>
      <c r="K28" s="28">
        <f>+K130+K131+K132+K133+K134+K135+K136+K137+K138+K139+K140+K141</f>
        <v>1677713</v>
      </c>
      <c r="L28" s="28">
        <v>2682</v>
      </c>
      <c r="M28" s="32">
        <f aca="true" t="shared" si="1" ref="M28:R28">+AVERAGE(M130:M141)</f>
        <v>67.7670449554045</v>
      </c>
      <c r="N28" s="36">
        <f t="shared" si="1"/>
        <v>2.967</v>
      </c>
      <c r="O28" s="36">
        <f t="shared" si="1"/>
        <v>1.1040216049382716</v>
      </c>
      <c r="P28" s="35">
        <f t="shared" si="1"/>
        <v>94.74328904049837</v>
      </c>
      <c r="Q28" s="35">
        <f t="shared" si="1"/>
        <v>482.3333333333333</v>
      </c>
      <c r="R28" s="37">
        <f t="shared" si="1"/>
        <v>12.951111111111112</v>
      </c>
      <c r="T28" s="132"/>
    </row>
    <row r="29" spans="2:20" s="41" customFormat="1" ht="15.75">
      <c r="B29" s="131">
        <v>2009</v>
      </c>
      <c r="C29" s="40">
        <v>13486332</v>
      </c>
      <c r="D29" s="40">
        <v>16053026.5</v>
      </c>
      <c r="E29" s="40">
        <v>3376.394889935141</v>
      </c>
      <c r="F29" s="128">
        <v>19.7</v>
      </c>
      <c r="G29" s="128">
        <v>49.2</v>
      </c>
      <c r="H29" s="40">
        <v>661379</v>
      </c>
      <c r="I29" s="130">
        <v>2527.6666666666665</v>
      </c>
      <c r="J29" s="40">
        <v>664841.5</v>
      </c>
      <c r="K29" s="40">
        <v>1866411</v>
      </c>
      <c r="L29" s="40">
        <v>2711.8272143330832</v>
      </c>
      <c r="M29" s="128">
        <v>67.67</v>
      </c>
      <c r="N29" s="129">
        <v>3.217166666666667</v>
      </c>
      <c r="O29" s="129">
        <v>1.0117101926040506</v>
      </c>
      <c r="P29" s="130">
        <v>95.91666666666667</v>
      </c>
      <c r="Q29" s="130">
        <v>484</v>
      </c>
      <c r="R29" s="183">
        <f>+AVERAGE(R143:R154)</f>
        <v>14.90486111111111</v>
      </c>
      <c r="T29" s="101"/>
    </row>
    <row r="30" spans="2:20" s="41" customFormat="1" ht="15.75">
      <c r="B30" s="131">
        <v>2010</v>
      </c>
      <c r="C30" s="40">
        <v>9692122</v>
      </c>
      <c r="D30" s="40">
        <v>11880155</v>
      </c>
      <c r="E30" s="40">
        <v>2629.627236310025</v>
      </c>
      <c r="F30" s="128">
        <v>22.761878892041793</v>
      </c>
      <c r="G30" s="128">
        <v>43.25426821478404</v>
      </c>
      <c r="H30" s="40">
        <v>309874</v>
      </c>
      <c r="I30" s="130">
        <v>3967.4568417315277</v>
      </c>
      <c r="J30" s="40">
        <v>313132.5</v>
      </c>
      <c r="K30" s="40">
        <v>1373900</v>
      </c>
      <c r="L30" s="40">
        <v>2293.3304971539856</v>
      </c>
      <c r="M30" s="128">
        <v>56.55</v>
      </c>
      <c r="N30" s="129">
        <v>6.28875</v>
      </c>
      <c r="O30" s="129">
        <v>1.8815179342341664</v>
      </c>
      <c r="P30" s="130">
        <v>162.675</v>
      </c>
      <c r="Q30" s="130">
        <v>483.5</v>
      </c>
      <c r="R30" s="183">
        <v>25.08</v>
      </c>
      <c r="T30" s="101"/>
    </row>
    <row r="31" spans="2:18" ht="22.5" customHeight="1">
      <c r="B31" s="6">
        <v>2001</v>
      </c>
      <c r="C31" s="5"/>
      <c r="D31" s="4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3"/>
    </row>
    <row r="32" spans="2:18" ht="12.75" customHeight="1">
      <c r="B32" s="44">
        <v>36892</v>
      </c>
      <c r="C32" s="22">
        <v>893662</v>
      </c>
      <c r="D32" s="22">
        <v>1046952</v>
      </c>
      <c r="E32" s="21">
        <v>227</v>
      </c>
      <c r="F32" s="23">
        <v>32.6</v>
      </c>
      <c r="G32" s="21">
        <v>43.9</v>
      </c>
      <c r="H32" s="22">
        <v>27015</v>
      </c>
      <c r="I32" s="22">
        <v>1560</v>
      </c>
      <c r="J32" s="26">
        <v>26150.5</v>
      </c>
      <c r="K32" s="21">
        <v>46882</v>
      </c>
      <c r="L32" s="21">
        <v>200</v>
      </c>
      <c r="M32" s="23">
        <v>66.3</v>
      </c>
      <c r="N32" s="135">
        <v>0.832</v>
      </c>
      <c r="O32" s="21">
        <v>0.834</v>
      </c>
      <c r="P32" s="23">
        <v>84.9</v>
      </c>
      <c r="Q32" s="21">
        <v>458</v>
      </c>
      <c r="R32" s="27">
        <v>3.68</v>
      </c>
    </row>
    <row r="33" spans="2:18" ht="12.75" customHeight="1">
      <c r="B33" s="44">
        <v>36923</v>
      </c>
      <c r="C33" s="22">
        <v>826446</v>
      </c>
      <c r="D33" s="22">
        <v>980511</v>
      </c>
      <c r="E33" s="21">
        <v>213</v>
      </c>
      <c r="F33" s="23">
        <v>33</v>
      </c>
      <c r="G33" s="21">
        <v>41.8</v>
      </c>
      <c r="H33" s="22">
        <v>27796</v>
      </c>
      <c r="I33" s="22">
        <v>1615</v>
      </c>
      <c r="J33" s="26">
        <v>28253.5</v>
      </c>
      <c r="K33" s="21">
        <v>49259</v>
      </c>
      <c r="L33" s="21">
        <v>185</v>
      </c>
      <c r="M33" s="23">
        <v>68.3</v>
      </c>
      <c r="N33" s="135">
        <v>0.85</v>
      </c>
      <c r="O33" s="21">
        <v>0.852</v>
      </c>
      <c r="P33" s="23">
        <v>88.4</v>
      </c>
      <c r="Q33" s="21">
        <v>455</v>
      </c>
      <c r="R33" s="27">
        <v>3.66</v>
      </c>
    </row>
    <row r="34" spans="2:18" ht="12.75" customHeight="1">
      <c r="B34" s="44">
        <v>36951</v>
      </c>
      <c r="C34" s="22">
        <v>843871</v>
      </c>
      <c r="D34" s="22">
        <v>1003948</v>
      </c>
      <c r="E34" s="21">
        <v>210</v>
      </c>
      <c r="F34" s="23">
        <v>28.4</v>
      </c>
      <c r="G34" s="21">
        <v>41.9</v>
      </c>
      <c r="H34" s="22">
        <v>16562</v>
      </c>
      <c r="I34" s="22">
        <v>1525</v>
      </c>
      <c r="J34" s="26">
        <v>23583.5</v>
      </c>
      <c r="K34" s="21">
        <v>41334</v>
      </c>
      <c r="L34" s="21">
        <v>193</v>
      </c>
      <c r="M34" s="23">
        <v>61.3</v>
      </c>
      <c r="N34" s="135">
        <v>0.849</v>
      </c>
      <c r="O34" s="21">
        <v>0.851</v>
      </c>
      <c r="P34" s="23">
        <v>88.6</v>
      </c>
      <c r="Q34" s="21">
        <v>453</v>
      </c>
      <c r="R34" s="27">
        <v>3.67</v>
      </c>
    </row>
    <row r="35" spans="2:18" ht="12.75" customHeight="1">
      <c r="B35" s="44">
        <v>36982</v>
      </c>
      <c r="C35" s="22">
        <v>785429</v>
      </c>
      <c r="D35" s="22">
        <v>937589</v>
      </c>
      <c r="E35" s="21">
        <v>192</v>
      </c>
      <c r="F35" s="23">
        <v>26.4</v>
      </c>
      <c r="G35" s="21">
        <v>43.5</v>
      </c>
      <c r="H35" s="22">
        <v>7262</v>
      </c>
      <c r="I35" s="22">
        <v>1421</v>
      </c>
      <c r="J35" s="26">
        <v>7626.5</v>
      </c>
      <c r="K35" s="21">
        <v>12829</v>
      </c>
      <c r="L35" s="21">
        <v>184</v>
      </c>
      <c r="M35" s="23">
        <v>59.3</v>
      </c>
      <c r="N35" s="135">
        <v>0.849</v>
      </c>
      <c r="O35" s="21">
        <v>0.851</v>
      </c>
      <c r="P35" s="23">
        <v>89</v>
      </c>
      <c r="Q35" s="21">
        <v>456</v>
      </c>
      <c r="R35" s="27">
        <v>3.64</v>
      </c>
    </row>
    <row r="36" spans="2:18" ht="12.75" customHeight="1">
      <c r="B36" s="44">
        <v>37012</v>
      </c>
      <c r="C36" s="22">
        <v>821242</v>
      </c>
      <c r="D36" s="22">
        <v>981638</v>
      </c>
      <c r="E36" s="21">
        <v>205</v>
      </c>
      <c r="F36" s="23">
        <v>27.7</v>
      </c>
      <c r="G36" s="21">
        <v>43.1</v>
      </c>
      <c r="H36" s="22">
        <v>9629</v>
      </c>
      <c r="I36" s="22">
        <v>1268</v>
      </c>
      <c r="J36" s="26">
        <v>11043</v>
      </c>
      <c r="K36" s="21">
        <v>16521</v>
      </c>
      <c r="L36" s="21">
        <v>195</v>
      </c>
      <c r="M36" s="23">
        <v>63.6</v>
      </c>
      <c r="N36" s="135">
        <v>0.836</v>
      </c>
      <c r="O36" s="21">
        <v>0.838</v>
      </c>
      <c r="P36" s="23">
        <v>87.6</v>
      </c>
      <c r="Q36" s="21">
        <v>453</v>
      </c>
      <c r="R36" s="27">
        <v>3.63</v>
      </c>
    </row>
    <row r="37" spans="2:18" ht="12.75" customHeight="1">
      <c r="B37" s="44">
        <v>37043</v>
      </c>
      <c r="C37" s="22">
        <v>786387</v>
      </c>
      <c r="D37" s="22">
        <v>938113</v>
      </c>
      <c r="E37" s="21">
        <v>199</v>
      </c>
      <c r="F37" s="23">
        <v>30.2</v>
      </c>
      <c r="G37" s="21">
        <v>41.5</v>
      </c>
      <c r="H37" s="22">
        <v>6778</v>
      </c>
      <c r="I37" s="22">
        <v>1267</v>
      </c>
      <c r="J37" s="26">
        <v>8397.5</v>
      </c>
      <c r="K37" s="21">
        <v>11628</v>
      </c>
      <c r="L37" s="21">
        <v>193</v>
      </c>
      <c r="M37" s="23">
        <v>65</v>
      </c>
      <c r="N37" s="135">
        <v>0.83</v>
      </c>
      <c r="O37" s="21">
        <v>0.832</v>
      </c>
      <c r="P37" s="23">
        <v>87.3</v>
      </c>
      <c r="Q37" s="21">
        <v>451</v>
      </c>
      <c r="R37" s="27">
        <v>3.58</v>
      </c>
    </row>
    <row r="38" spans="2:18" ht="12.75" customHeight="1">
      <c r="B38" s="44">
        <v>37073</v>
      </c>
      <c r="C38" s="22">
        <v>810245</v>
      </c>
      <c r="D38" s="22">
        <v>963633</v>
      </c>
      <c r="E38" s="21">
        <v>205</v>
      </c>
      <c r="F38" s="23">
        <v>31.7</v>
      </c>
      <c r="G38" s="21">
        <v>41.1</v>
      </c>
      <c r="H38" s="22">
        <v>10113</v>
      </c>
      <c r="I38" s="22">
        <v>1288</v>
      </c>
      <c r="J38" s="26">
        <v>9938</v>
      </c>
      <c r="K38" s="21">
        <v>13134</v>
      </c>
      <c r="L38" s="21">
        <v>195</v>
      </c>
      <c r="M38" s="23">
        <v>64.5</v>
      </c>
      <c r="N38" s="135">
        <v>0.793</v>
      </c>
      <c r="O38" s="21">
        <v>0.795</v>
      </c>
      <c r="P38" s="23">
        <v>83.7</v>
      </c>
      <c r="Q38" s="21">
        <v>451</v>
      </c>
      <c r="R38" s="27">
        <v>3.56</v>
      </c>
    </row>
    <row r="39" spans="2:18" ht="12.75" customHeight="1">
      <c r="B39" s="44">
        <v>37104</v>
      </c>
      <c r="C39" s="22">
        <v>828040</v>
      </c>
      <c r="D39" s="22">
        <v>976572</v>
      </c>
      <c r="E39" s="21">
        <v>209</v>
      </c>
      <c r="F39" s="23">
        <v>32.9</v>
      </c>
      <c r="G39" s="21">
        <v>40.4</v>
      </c>
      <c r="H39" s="22">
        <v>7964</v>
      </c>
      <c r="I39" s="22">
        <v>1649</v>
      </c>
      <c r="J39" s="26">
        <v>9043.5</v>
      </c>
      <c r="K39" s="21">
        <v>13821</v>
      </c>
      <c r="L39" s="21">
        <v>201</v>
      </c>
      <c r="M39" s="23">
        <v>65.8</v>
      </c>
      <c r="N39" s="135">
        <v>0.734</v>
      </c>
      <c r="O39" s="21">
        <v>0.735</v>
      </c>
      <c r="P39" s="23">
        <v>77.9</v>
      </c>
      <c r="Q39" s="21">
        <v>451</v>
      </c>
      <c r="R39" s="27">
        <v>3.52</v>
      </c>
    </row>
    <row r="40" spans="2:18" ht="12.75" customHeight="1">
      <c r="B40" s="44">
        <v>37135</v>
      </c>
      <c r="C40" s="22">
        <v>739109</v>
      </c>
      <c r="D40" s="22">
        <v>866640</v>
      </c>
      <c r="E40" s="21">
        <v>186</v>
      </c>
      <c r="F40" s="23">
        <v>33.5</v>
      </c>
      <c r="G40" s="21">
        <v>40.7</v>
      </c>
      <c r="H40" s="22">
        <v>10886</v>
      </c>
      <c r="I40" s="22">
        <v>1166</v>
      </c>
      <c r="J40" s="26">
        <v>10070</v>
      </c>
      <c r="K40" s="21">
        <v>14791</v>
      </c>
      <c r="L40" s="21">
        <v>175</v>
      </c>
      <c r="M40" s="23">
        <v>60</v>
      </c>
      <c r="N40" s="135">
        <v>0.673</v>
      </c>
      <c r="O40" s="21">
        <v>0.674</v>
      </c>
      <c r="P40" s="23">
        <v>71.7</v>
      </c>
      <c r="Q40" s="21">
        <v>453</v>
      </c>
      <c r="R40" s="27">
        <v>3.35</v>
      </c>
    </row>
    <row r="41" spans="2:18" ht="12.75" customHeight="1">
      <c r="B41" s="44">
        <v>37165</v>
      </c>
      <c r="C41" s="22">
        <v>848307</v>
      </c>
      <c r="D41" s="22">
        <v>995019</v>
      </c>
      <c r="E41" s="21">
        <v>214</v>
      </c>
      <c r="F41" s="23">
        <v>33.2</v>
      </c>
      <c r="G41" s="21">
        <v>40.6</v>
      </c>
      <c r="H41" s="22">
        <v>9679</v>
      </c>
      <c r="I41" s="22">
        <v>1326</v>
      </c>
      <c r="J41" s="26">
        <v>11707.5</v>
      </c>
      <c r="K41" s="21">
        <v>17104</v>
      </c>
      <c r="L41" s="21">
        <v>204</v>
      </c>
      <c r="M41" s="23">
        <v>66.9</v>
      </c>
      <c r="N41" s="135">
        <v>0.669</v>
      </c>
      <c r="O41" s="25">
        <v>0.67</v>
      </c>
      <c r="P41" s="23">
        <v>72.4</v>
      </c>
      <c r="Q41" s="21">
        <v>456</v>
      </c>
      <c r="R41" s="27">
        <v>3.38</v>
      </c>
    </row>
    <row r="42" spans="2:18" ht="12.75" customHeight="1">
      <c r="B42" s="44">
        <v>37196</v>
      </c>
      <c r="C42" s="22">
        <v>822297</v>
      </c>
      <c r="D42" s="22">
        <v>974160</v>
      </c>
      <c r="E42" s="21">
        <v>208</v>
      </c>
      <c r="F42" s="23">
        <v>30</v>
      </c>
      <c r="G42" s="21">
        <v>42.7</v>
      </c>
      <c r="H42" s="22">
        <v>9726</v>
      </c>
      <c r="I42" s="22">
        <v>1230</v>
      </c>
      <c r="J42" s="26">
        <v>11515.5</v>
      </c>
      <c r="K42" s="21">
        <v>17118</v>
      </c>
      <c r="L42" s="21">
        <v>198</v>
      </c>
      <c r="M42" s="23">
        <v>66.1</v>
      </c>
      <c r="N42" s="135">
        <v>0.643</v>
      </c>
      <c r="O42" s="21">
        <v>0.644</v>
      </c>
      <c r="P42" s="23">
        <v>70.6</v>
      </c>
      <c r="Q42" s="21">
        <v>459</v>
      </c>
      <c r="R42" s="27">
        <v>3.34</v>
      </c>
    </row>
    <row r="43" spans="2:18" ht="12.75" customHeight="1">
      <c r="B43" s="44">
        <v>37226</v>
      </c>
      <c r="C43" s="22">
        <v>772806</v>
      </c>
      <c r="D43" s="22">
        <v>919475</v>
      </c>
      <c r="E43" s="21">
        <v>193</v>
      </c>
      <c r="F43" s="23">
        <v>27.9</v>
      </c>
      <c r="G43" s="21">
        <v>43.8</v>
      </c>
      <c r="H43" s="22">
        <v>9055</v>
      </c>
      <c r="I43" s="22">
        <v>1185</v>
      </c>
      <c r="J43" s="26">
        <v>8411.5</v>
      </c>
      <c r="K43" s="21">
        <v>12168</v>
      </c>
      <c r="L43" s="21">
        <v>184</v>
      </c>
      <c r="M43" s="23">
        <v>60</v>
      </c>
      <c r="N43" s="135">
        <v>0.654</v>
      </c>
      <c r="O43" s="21">
        <v>0.655</v>
      </c>
      <c r="P43" s="23">
        <v>71.9</v>
      </c>
      <c r="Q43" s="21">
        <v>460</v>
      </c>
      <c r="R43" s="27">
        <v>3.34</v>
      </c>
    </row>
    <row r="44" spans="2:18" ht="15" customHeight="1"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43"/>
    </row>
    <row r="45" spans="2:18" ht="12.75" customHeight="1">
      <c r="B45" s="6"/>
      <c r="C45" s="4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43"/>
    </row>
    <row r="46" spans="2:18" ht="12.75" customHeight="1">
      <c r="B46" s="6"/>
      <c r="C46" s="5"/>
      <c r="D46" s="42"/>
      <c r="E46" s="42"/>
      <c r="F46" s="5"/>
      <c r="G46" s="5"/>
      <c r="H46" s="42"/>
      <c r="I46" s="42"/>
      <c r="J46" s="42"/>
      <c r="K46" s="5"/>
      <c r="L46" s="5"/>
      <c r="M46" s="5"/>
      <c r="N46" s="5"/>
      <c r="O46" s="5"/>
      <c r="P46" s="5"/>
      <c r="Q46" s="5"/>
      <c r="R46" s="43"/>
    </row>
    <row r="47" spans="2:18" ht="12.75" customHeight="1">
      <c r="B47" s="45">
        <v>2002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43"/>
    </row>
    <row r="48" spans="2:18" ht="12.75" customHeight="1">
      <c r="B48" s="44">
        <v>37257</v>
      </c>
      <c r="C48" s="22">
        <v>753908</v>
      </c>
      <c r="D48" s="22">
        <v>912177</v>
      </c>
      <c r="E48" s="26">
        <v>194.679</v>
      </c>
      <c r="F48" s="23">
        <v>26.55260775750084</v>
      </c>
      <c r="G48" s="23">
        <v>45.72757678602195</v>
      </c>
      <c r="H48" s="26">
        <v>8203.965437999997</v>
      </c>
      <c r="I48" s="22">
        <v>1193</v>
      </c>
      <c r="J48" s="22">
        <v>9731.5</v>
      </c>
      <c r="K48" s="22">
        <v>14081</v>
      </c>
      <c r="L48" s="26">
        <v>186.13303456199998</v>
      </c>
      <c r="M48" s="23">
        <v>60.50368313205021</v>
      </c>
      <c r="N48" s="21">
        <v>0.751</v>
      </c>
      <c r="O48" s="25">
        <v>0.457</v>
      </c>
      <c r="P48" s="23">
        <v>77.62128007844116</v>
      </c>
      <c r="Q48" s="21">
        <v>468</v>
      </c>
      <c r="R48" s="27">
        <v>3.41</v>
      </c>
    </row>
    <row r="49" spans="2:18" ht="12.75" customHeight="1">
      <c r="B49" s="44">
        <v>37288</v>
      </c>
      <c r="C49" s="22">
        <v>756063</v>
      </c>
      <c r="D49" s="22">
        <v>905498</v>
      </c>
      <c r="E49" s="26">
        <v>197.991</v>
      </c>
      <c r="F49" s="23">
        <v>29.461809329819893</v>
      </c>
      <c r="G49" s="23">
        <v>44.39647234272943</v>
      </c>
      <c r="H49" s="26">
        <v>12821</v>
      </c>
      <c r="I49" s="22">
        <v>1513</v>
      </c>
      <c r="J49" s="22">
        <v>10769.5</v>
      </c>
      <c r="K49" s="22">
        <v>17820</v>
      </c>
      <c r="L49" s="26">
        <v>182.68808990100004</v>
      </c>
      <c r="M49" s="23">
        <v>61.6</v>
      </c>
      <c r="N49" s="21">
        <v>0.878</v>
      </c>
      <c r="O49" s="25">
        <v>0.41931244221320557</v>
      </c>
      <c r="P49" s="23">
        <v>80.78739457186337</v>
      </c>
      <c r="Q49" s="21">
        <v>471</v>
      </c>
      <c r="R49" s="27">
        <v>3.65</v>
      </c>
    </row>
    <row r="50" spans="2:18" ht="12.75" customHeight="1">
      <c r="B50" s="44">
        <v>37316</v>
      </c>
      <c r="C50" s="22">
        <v>771142</v>
      </c>
      <c r="D50" s="22">
        <v>934542</v>
      </c>
      <c r="E50" s="26">
        <v>205.364</v>
      </c>
      <c r="F50" s="23">
        <v>32.37998405103668</v>
      </c>
      <c r="G50" s="23">
        <v>41.48777246145667</v>
      </c>
      <c r="H50" s="26">
        <v>23034</v>
      </c>
      <c r="I50" s="22">
        <v>1641</v>
      </c>
      <c r="J50" s="22">
        <v>19090</v>
      </c>
      <c r="K50" s="22">
        <v>33842</v>
      </c>
      <c r="L50" s="26">
        <v>180.27687367800002</v>
      </c>
      <c r="M50" s="23">
        <v>61.35054205411176</v>
      </c>
      <c r="N50" s="21">
        <v>0.922</v>
      </c>
      <c r="O50" s="25">
        <v>0.35497035497035495</v>
      </c>
      <c r="P50" s="23">
        <v>75.35839187973471</v>
      </c>
      <c r="Q50" s="21">
        <v>458</v>
      </c>
      <c r="R50" s="27">
        <v>3.69</v>
      </c>
    </row>
    <row r="51" spans="2:18" ht="12.75" customHeight="1">
      <c r="B51" s="44">
        <v>37347</v>
      </c>
      <c r="C51" s="22">
        <v>818523</v>
      </c>
      <c r="D51" s="22">
        <v>1000301</v>
      </c>
      <c r="E51" s="26">
        <v>216.403</v>
      </c>
      <c r="F51" s="23">
        <v>30.677710992503986</v>
      </c>
      <c r="G51" s="23">
        <v>42.700669393090195</v>
      </c>
      <c r="H51" s="26">
        <v>25204</v>
      </c>
      <c r="I51" s="22">
        <v>1462</v>
      </c>
      <c r="J51" s="22">
        <v>26286</v>
      </c>
      <c r="K51" s="22">
        <v>41527</v>
      </c>
      <c r="L51" s="26">
        <v>189.70544281899993</v>
      </c>
      <c r="M51" s="23">
        <v>65.4987651048918</v>
      </c>
      <c r="N51" s="21">
        <v>1.301</v>
      </c>
      <c r="O51" s="25">
        <v>0.45</v>
      </c>
      <c r="P51" s="23">
        <v>88.67830555688815</v>
      </c>
      <c r="Q51" s="21">
        <v>456</v>
      </c>
      <c r="R51" s="27">
        <v>4.54</v>
      </c>
    </row>
    <row r="52" spans="2:18" ht="12.75" customHeight="1">
      <c r="B52" s="44">
        <v>37377</v>
      </c>
      <c r="C52" s="22">
        <v>822498</v>
      </c>
      <c r="D52" s="22">
        <v>1009796</v>
      </c>
      <c r="E52" s="26">
        <v>221.251</v>
      </c>
      <c r="F52" s="23">
        <v>33.27525726553678</v>
      </c>
      <c r="G52" s="23">
        <v>41.94976195351381</v>
      </c>
      <c r="H52" s="26">
        <v>36759</v>
      </c>
      <c r="I52" s="22">
        <v>1395</v>
      </c>
      <c r="J52" s="22">
        <v>32705.5</v>
      </c>
      <c r="K52" s="22">
        <v>48375</v>
      </c>
      <c r="L52" s="26">
        <v>182.42452964699996</v>
      </c>
      <c r="M52" s="23">
        <v>62.25087523751227</v>
      </c>
      <c r="N52" s="21">
        <v>1.286</v>
      </c>
      <c r="O52" s="25">
        <v>0.384</v>
      </c>
      <c r="P52" s="23">
        <v>78.03092703635936</v>
      </c>
      <c r="Q52" s="21">
        <v>449</v>
      </c>
      <c r="R52" s="27">
        <v>4.53</v>
      </c>
    </row>
    <row r="53" spans="2:18" ht="12.75" customHeight="1">
      <c r="B53" s="44">
        <v>37408</v>
      </c>
      <c r="C53" s="22">
        <v>859519</v>
      </c>
      <c r="D53" s="22">
        <v>1042876</v>
      </c>
      <c r="E53" s="26">
        <v>228.281</v>
      </c>
      <c r="F53" s="23">
        <v>31.99042088755139</v>
      </c>
      <c r="G53" s="23">
        <v>43.88542741020171</v>
      </c>
      <c r="H53" s="26">
        <v>27484</v>
      </c>
      <c r="I53" s="22">
        <v>1201</v>
      </c>
      <c r="J53" s="22">
        <v>30339.5</v>
      </c>
      <c r="K53" s="22">
        <v>40934</v>
      </c>
      <c r="L53" s="26">
        <v>198.013302804</v>
      </c>
      <c r="M53" s="23">
        <v>65.92255014163811</v>
      </c>
      <c r="N53" s="21">
        <v>1.367</v>
      </c>
      <c r="O53" s="25">
        <v>0.374</v>
      </c>
      <c r="P53" s="23">
        <v>76.41840298316892</v>
      </c>
      <c r="Q53" s="21">
        <v>447</v>
      </c>
      <c r="R53" s="27">
        <v>4.58</v>
      </c>
    </row>
    <row r="54" spans="2:18" ht="12" customHeight="1">
      <c r="B54" s="44">
        <v>37438</v>
      </c>
      <c r="C54" s="22">
        <v>874863</v>
      </c>
      <c r="D54" s="22">
        <v>1063835</v>
      </c>
      <c r="E54" s="26">
        <v>233.79</v>
      </c>
      <c r="F54" s="23">
        <v>32.736035406315246</v>
      </c>
      <c r="G54" s="23">
        <v>42.479888253408575</v>
      </c>
      <c r="H54" s="26">
        <v>36477</v>
      </c>
      <c r="I54" s="22">
        <v>1167</v>
      </c>
      <c r="J54" s="22">
        <v>37904.5</v>
      </c>
      <c r="K54" s="22">
        <v>47491</v>
      </c>
      <c r="L54" s="26">
        <v>195.104905913</v>
      </c>
      <c r="M54" s="23">
        <v>64.50626892479282</v>
      </c>
      <c r="N54" s="21">
        <v>1.539</v>
      </c>
      <c r="O54" s="25">
        <v>0.42</v>
      </c>
      <c r="P54" s="23">
        <v>82.21350360160557</v>
      </c>
      <c r="Q54" s="21">
        <v>443</v>
      </c>
      <c r="R54" s="30">
        <v>4.62</v>
      </c>
    </row>
    <row r="55" spans="2:18" ht="12.75" customHeight="1">
      <c r="B55" s="46">
        <v>37469</v>
      </c>
      <c r="C55" s="22">
        <v>766238</v>
      </c>
      <c r="D55" s="22">
        <v>916481</v>
      </c>
      <c r="E55" s="26">
        <v>205.084</v>
      </c>
      <c r="F55" s="23">
        <v>35.57222369467267</v>
      </c>
      <c r="G55" s="23">
        <v>41.15491651205937</v>
      </c>
      <c r="H55" s="26">
        <v>34779</v>
      </c>
      <c r="I55" s="22">
        <v>1179</v>
      </c>
      <c r="J55" s="22">
        <v>36955</v>
      </c>
      <c r="K55" s="22">
        <v>46286</v>
      </c>
      <c r="L55" s="26">
        <v>164.38668312040005</v>
      </c>
      <c r="M55" s="23">
        <v>55.09307139723116</v>
      </c>
      <c r="N55" s="47">
        <v>1.934</v>
      </c>
      <c r="O55" s="25">
        <v>0.5275504637206765</v>
      </c>
      <c r="P55" s="48">
        <v>98.3552275949338</v>
      </c>
      <c r="Q55" s="47">
        <v>446</v>
      </c>
      <c r="R55" s="30">
        <v>5.6</v>
      </c>
    </row>
    <row r="56" spans="2:18" ht="12.75" customHeight="1">
      <c r="B56" s="46">
        <v>37500</v>
      </c>
      <c r="C56" s="22">
        <v>739172</v>
      </c>
      <c r="D56" s="22">
        <v>891495</v>
      </c>
      <c r="E56" s="26">
        <v>200.285</v>
      </c>
      <c r="F56" s="23">
        <v>37.23470631581122</v>
      </c>
      <c r="G56" s="23">
        <v>40.815112219107895</v>
      </c>
      <c r="H56" s="26">
        <v>35838</v>
      </c>
      <c r="I56" s="22">
        <v>1244.1526652773664</v>
      </c>
      <c r="J56" s="22">
        <v>37029</v>
      </c>
      <c r="K56" s="22">
        <v>47628</v>
      </c>
      <c r="L56" s="26">
        <v>160.39708579900008</v>
      </c>
      <c r="M56" s="23">
        <v>53.55062518017318</v>
      </c>
      <c r="N56" s="47">
        <v>2.065</v>
      </c>
      <c r="O56" s="25">
        <v>0.5581081081081081</v>
      </c>
      <c r="P56" s="48">
        <v>102.52010699122359</v>
      </c>
      <c r="Q56" s="47">
        <v>445</v>
      </c>
      <c r="R56" s="30">
        <v>6.04</v>
      </c>
    </row>
    <row r="57" spans="2:18" ht="15" customHeight="1">
      <c r="B57" s="46">
        <v>37530</v>
      </c>
      <c r="C57" s="22">
        <v>790494</v>
      </c>
      <c r="D57" s="22">
        <v>954022</v>
      </c>
      <c r="E57" s="26">
        <v>213.149</v>
      </c>
      <c r="F57" s="23">
        <v>36.13422077815686</v>
      </c>
      <c r="G57" s="23">
        <v>42.23550896792318</v>
      </c>
      <c r="H57" s="26">
        <v>37864</v>
      </c>
      <c r="I57" s="22">
        <v>1223</v>
      </c>
      <c r="J57" s="22">
        <v>39496</v>
      </c>
      <c r="K57" s="22">
        <v>52817</v>
      </c>
      <c r="L57" s="26">
        <v>171.9798003520001</v>
      </c>
      <c r="M57" s="23">
        <v>55.874398121186395</v>
      </c>
      <c r="N57" s="21">
        <v>2.04</v>
      </c>
      <c r="O57" s="25">
        <v>0.5557068918550804</v>
      </c>
      <c r="P57" s="23">
        <v>100.77940603753574</v>
      </c>
      <c r="Q57" s="47">
        <v>450</v>
      </c>
      <c r="R57" s="30">
        <v>6</v>
      </c>
    </row>
    <row r="58" spans="2:18" ht="12.75" customHeight="1">
      <c r="B58" s="46">
        <v>37561</v>
      </c>
      <c r="C58" s="22">
        <v>758993</v>
      </c>
      <c r="D58" s="22">
        <v>912122</v>
      </c>
      <c r="E58" s="26">
        <v>203.083</v>
      </c>
      <c r="F58" s="23">
        <v>34.53353651226666</v>
      </c>
      <c r="G58" s="23">
        <v>44.10350403738208</v>
      </c>
      <c r="H58" s="26">
        <v>36510</v>
      </c>
      <c r="I58" s="22">
        <v>1245.1950665590625</v>
      </c>
      <c r="J58" s="22">
        <v>36664</v>
      </c>
      <c r="K58" s="22">
        <v>49326</v>
      </c>
      <c r="L58" s="26">
        <v>164.28292841000004</v>
      </c>
      <c r="M58" s="23">
        <v>54.83079922347301</v>
      </c>
      <c r="N58" s="47">
        <v>2.071</v>
      </c>
      <c r="O58" s="25">
        <v>0.58</v>
      </c>
      <c r="P58" s="23">
        <v>104.08908127207977</v>
      </c>
      <c r="Q58" s="47">
        <v>454</v>
      </c>
      <c r="R58" s="27">
        <v>6.03</v>
      </c>
    </row>
    <row r="59" spans="2:18" ht="12.75" customHeight="1">
      <c r="B59" s="46">
        <v>37591</v>
      </c>
      <c r="C59" s="22">
        <v>782868</v>
      </c>
      <c r="D59" s="22">
        <v>956302</v>
      </c>
      <c r="E59" s="26">
        <v>206.164</v>
      </c>
      <c r="F59" s="23">
        <v>29.56988790520371</v>
      </c>
      <c r="G59" s="23">
        <v>46.79858621217013</v>
      </c>
      <c r="H59" s="26">
        <v>32074</v>
      </c>
      <c r="I59" s="22">
        <v>1244.8836001867119</v>
      </c>
      <c r="J59" s="22">
        <v>31424</v>
      </c>
      <c r="K59" s="22">
        <v>40757</v>
      </c>
      <c r="L59" s="26">
        <v>169.61360943300002</v>
      </c>
      <c r="M59" s="23">
        <v>53.811408080262034</v>
      </c>
      <c r="N59" s="47">
        <v>2.091</v>
      </c>
      <c r="O59" s="25">
        <v>0.6</v>
      </c>
      <c r="P59" s="23">
        <v>105.3</v>
      </c>
      <c r="Q59" s="47">
        <v>453</v>
      </c>
      <c r="R59" s="27">
        <v>6.11</v>
      </c>
    </row>
    <row r="60" spans="2:18" ht="12.75" customHeight="1">
      <c r="B60" s="136"/>
      <c r="C60" s="5"/>
      <c r="D60" s="5"/>
      <c r="E60" s="49"/>
      <c r="F60" s="137"/>
      <c r="G60" s="137"/>
      <c r="H60" s="42"/>
      <c r="I60" s="42"/>
      <c r="J60" s="42"/>
      <c r="K60" s="42"/>
      <c r="L60" s="5"/>
      <c r="M60" s="137"/>
      <c r="N60" s="138"/>
      <c r="O60" s="139"/>
      <c r="P60" s="137"/>
      <c r="Q60" s="138"/>
      <c r="R60" s="43"/>
    </row>
    <row r="61" spans="2:18" ht="12.75" customHeight="1"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43"/>
    </row>
    <row r="62" spans="2:18" ht="12.75" customHeight="1">
      <c r="B62" s="45">
        <v>2003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</row>
    <row r="63" spans="2:18" ht="12.75" customHeight="1">
      <c r="B63" s="44">
        <v>37622</v>
      </c>
      <c r="C63" s="22">
        <v>775281</v>
      </c>
      <c r="D63" s="22">
        <v>948291</v>
      </c>
      <c r="E63" s="26">
        <v>236.97765902733394</v>
      </c>
      <c r="F63" s="23">
        <v>35.09624458067454</v>
      </c>
      <c r="G63" s="23">
        <v>43.785114259507324</v>
      </c>
      <c r="H63" s="28">
        <v>28079.263691999968</v>
      </c>
      <c r="I63" s="22">
        <v>1352.599393509768</v>
      </c>
      <c r="J63" s="28">
        <v>32906</v>
      </c>
      <c r="K63" s="28">
        <v>46665</v>
      </c>
      <c r="L63" s="26">
        <v>183</v>
      </c>
      <c r="M63" s="23">
        <v>58.2</v>
      </c>
      <c r="N63" s="21">
        <v>2.015</v>
      </c>
      <c r="O63" s="25">
        <v>0.612</v>
      </c>
      <c r="P63" s="23">
        <v>101.20986608383909</v>
      </c>
      <c r="Q63" s="21">
        <v>457</v>
      </c>
      <c r="R63" s="30">
        <v>6.23</v>
      </c>
    </row>
    <row r="64" spans="2:18" ht="12.75" customHeight="1">
      <c r="B64" s="46">
        <v>37653</v>
      </c>
      <c r="C64" s="22">
        <v>704407</v>
      </c>
      <c r="D64" s="22">
        <v>865925</v>
      </c>
      <c r="E64" s="26">
        <v>222.44048589287615</v>
      </c>
      <c r="F64" s="23">
        <v>33.17919242100398</v>
      </c>
      <c r="G64" s="23">
        <v>43.68537346196061</v>
      </c>
      <c r="H64" s="28">
        <v>27907.744442499992</v>
      </c>
      <c r="I64" s="22">
        <v>1358.1925238743702</v>
      </c>
      <c r="J64" s="28">
        <v>28812.5</v>
      </c>
      <c r="K64" s="28">
        <v>40797</v>
      </c>
      <c r="L64" s="26">
        <v>160</v>
      </c>
      <c r="M64" s="23">
        <v>56.5</v>
      </c>
      <c r="N64" s="21">
        <v>2.011</v>
      </c>
      <c r="O64" s="25">
        <v>0.628</v>
      </c>
      <c r="P64" s="23">
        <v>100.6144765635072</v>
      </c>
      <c r="Q64" s="21">
        <v>451</v>
      </c>
      <c r="R64" s="30">
        <v>6.21</v>
      </c>
    </row>
    <row r="65" spans="2:18" ht="12.75" customHeight="1">
      <c r="B65" s="44">
        <v>37681</v>
      </c>
      <c r="C65" s="22">
        <v>759827</v>
      </c>
      <c r="D65" s="22">
        <v>940912</v>
      </c>
      <c r="E65" s="26">
        <v>259.54948653887976</v>
      </c>
      <c r="F65" s="23">
        <v>32.281011667389485</v>
      </c>
      <c r="G65" s="23">
        <v>43.11327839893375</v>
      </c>
      <c r="H65" s="28">
        <v>25231.503523999945</v>
      </c>
      <c r="I65" s="22">
        <v>1538.6599345168709</v>
      </c>
      <c r="J65" s="28">
        <v>26662.5</v>
      </c>
      <c r="K65" s="28">
        <v>43027</v>
      </c>
      <c r="L65" s="26">
        <v>176</v>
      </c>
      <c r="M65" s="23">
        <v>56.6</v>
      </c>
      <c r="N65" s="21">
        <v>1.957</v>
      </c>
      <c r="O65" s="25">
        <v>0.6314940303323653</v>
      </c>
      <c r="P65" s="23">
        <v>98.5887774330476</v>
      </c>
      <c r="Q65" s="21">
        <v>450</v>
      </c>
      <c r="R65" s="30">
        <v>6.25</v>
      </c>
    </row>
    <row r="66" spans="2:18" ht="12.75" customHeight="1">
      <c r="B66" s="44">
        <v>37712</v>
      </c>
      <c r="C66" s="22">
        <v>793746</v>
      </c>
      <c r="D66" s="22">
        <v>994561</v>
      </c>
      <c r="E66" s="26">
        <v>227.24696493315284</v>
      </c>
      <c r="F66" s="23">
        <v>29.941279476279753</v>
      </c>
      <c r="G66" s="23">
        <v>44.181470550017636</v>
      </c>
      <c r="H66" s="28">
        <v>25838.913074000073</v>
      </c>
      <c r="I66" s="22">
        <v>1488.2888239093668</v>
      </c>
      <c r="J66" s="28">
        <v>26185.5</v>
      </c>
      <c r="K66" s="28">
        <v>44845</v>
      </c>
      <c r="L66" s="26">
        <v>183</v>
      </c>
      <c r="M66" s="23">
        <v>60.9</v>
      </c>
      <c r="N66" s="21">
        <v>1.869</v>
      </c>
      <c r="O66" s="25">
        <v>0.651</v>
      </c>
      <c r="P66" s="23">
        <v>95.9723168946848</v>
      </c>
      <c r="Q66" s="21">
        <v>447</v>
      </c>
      <c r="R66" s="30">
        <v>6.2</v>
      </c>
    </row>
    <row r="67" spans="2:18" ht="12.75" customHeight="1">
      <c r="B67" s="46">
        <v>37742</v>
      </c>
      <c r="C67" s="22">
        <v>810461</v>
      </c>
      <c r="D67" s="22">
        <v>1011824</v>
      </c>
      <c r="E67" s="26">
        <v>244.86869158455283</v>
      </c>
      <c r="F67" s="23">
        <v>28.88716684968434</v>
      </c>
      <c r="G67" s="23">
        <v>45.84598848518903</v>
      </c>
      <c r="H67" s="28">
        <v>25511.02600499998</v>
      </c>
      <c r="I67" s="22">
        <v>1587.356267523826</v>
      </c>
      <c r="J67" s="28">
        <v>28359.5</v>
      </c>
      <c r="K67" s="28">
        <v>44681</v>
      </c>
      <c r="L67" s="26">
        <v>186</v>
      </c>
      <c r="M67" s="23">
        <v>59.2</v>
      </c>
      <c r="N67" s="47">
        <v>1.839</v>
      </c>
      <c r="O67" s="25">
        <v>0.647</v>
      </c>
      <c r="P67" s="23">
        <v>95</v>
      </c>
      <c r="Q67" s="21">
        <v>446</v>
      </c>
      <c r="R67" s="30">
        <v>6.16</v>
      </c>
    </row>
    <row r="68" spans="2:18" ht="12.75" customHeight="1">
      <c r="B68" s="46">
        <v>37773</v>
      </c>
      <c r="C68" s="22">
        <v>833029</v>
      </c>
      <c r="D68" s="22">
        <v>1022114</v>
      </c>
      <c r="E68" s="26">
        <v>261.64506623782967</v>
      </c>
      <c r="F68" s="23">
        <v>28.545373169072306</v>
      </c>
      <c r="G68" s="23">
        <v>46.30178704062569</v>
      </c>
      <c r="H68" s="28">
        <v>27039.97720699995</v>
      </c>
      <c r="I68" s="26">
        <v>1407.546569608323</v>
      </c>
      <c r="J68" s="28">
        <v>27292</v>
      </c>
      <c r="K68" s="28">
        <v>42444</v>
      </c>
      <c r="L68" s="26">
        <v>187</v>
      </c>
      <c r="M68" s="23">
        <v>61.9</v>
      </c>
      <c r="N68" s="21">
        <v>1.836</v>
      </c>
      <c r="O68" s="25">
        <v>0.651</v>
      </c>
      <c r="P68" s="23">
        <v>95</v>
      </c>
      <c r="Q68" s="47">
        <v>445</v>
      </c>
      <c r="R68" s="30">
        <v>6.04</v>
      </c>
    </row>
    <row r="69" spans="2:18" ht="12.75" customHeight="1">
      <c r="B69" s="46">
        <v>37803</v>
      </c>
      <c r="C69" s="22">
        <v>902539</v>
      </c>
      <c r="D69" s="22">
        <v>1111491</v>
      </c>
      <c r="E69" s="26">
        <v>259.9529461524555</v>
      </c>
      <c r="F69" s="23">
        <v>31.381481829591255</v>
      </c>
      <c r="G69" s="23">
        <v>43.42995836811871</v>
      </c>
      <c r="H69" s="28">
        <v>34548.62350699991</v>
      </c>
      <c r="I69" s="26">
        <v>1473.4527573779008</v>
      </c>
      <c r="J69" s="28">
        <v>38510.5</v>
      </c>
      <c r="K69" s="28">
        <v>60375</v>
      </c>
      <c r="L69" s="26">
        <v>198</v>
      </c>
      <c r="M69" s="23">
        <v>63.4</v>
      </c>
      <c r="N69" s="47">
        <v>1.844</v>
      </c>
      <c r="O69" s="25">
        <v>0.66</v>
      </c>
      <c r="P69" s="23">
        <v>95.4</v>
      </c>
      <c r="Q69" s="47">
        <v>444</v>
      </c>
      <c r="R69" s="30">
        <v>6.05</v>
      </c>
    </row>
    <row r="70" spans="2:18" ht="12.75">
      <c r="B70" s="46">
        <v>37834</v>
      </c>
      <c r="C70" s="22">
        <v>839455</v>
      </c>
      <c r="D70" s="22">
        <v>1042236</v>
      </c>
      <c r="E70" s="26">
        <v>259.45035983085324</v>
      </c>
      <c r="F70" s="23">
        <v>30.600265844245712</v>
      </c>
      <c r="G70" s="23">
        <v>43.737085272276346</v>
      </c>
      <c r="H70" s="28">
        <v>37100.209046000025</v>
      </c>
      <c r="I70" s="26">
        <v>1426.0845976474172</v>
      </c>
      <c r="J70" s="28">
        <v>35133</v>
      </c>
      <c r="K70" s="28">
        <v>56406</v>
      </c>
      <c r="L70" s="26">
        <v>184</v>
      </c>
      <c r="M70" s="23">
        <v>59</v>
      </c>
      <c r="N70" s="47">
        <v>1.913</v>
      </c>
      <c r="O70" s="25">
        <v>0.653</v>
      </c>
      <c r="P70" s="23">
        <v>97.6</v>
      </c>
      <c r="Q70" s="47">
        <v>446</v>
      </c>
      <c r="R70" s="30">
        <v>6.06</v>
      </c>
    </row>
    <row r="71" spans="2:20" s="56" customFormat="1" ht="12.75">
      <c r="B71" s="46">
        <v>37865</v>
      </c>
      <c r="C71" s="22">
        <v>923761</v>
      </c>
      <c r="D71" s="22">
        <v>1113898</v>
      </c>
      <c r="E71" s="26">
        <v>261.34108783076033</v>
      </c>
      <c r="F71" s="23">
        <v>31.441718125483277</v>
      </c>
      <c r="G71" s="23">
        <v>42.97404733122053</v>
      </c>
      <c r="H71" s="28">
        <v>31595.73972599998</v>
      </c>
      <c r="I71" s="26">
        <v>1583.2474347430923</v>
      </c>
      <c r="J71" s="28">
        <v>34107.5</v>
      </c>
      <c r="K71" s="28">
        <v>59901</v>
      </c>
      <c r="L71" s="26">
        <v>202</v>
      </c>
      <c r="M71" s="23">
        <v>66.7</v>
      </c>
      <c r="N71" s="47">
        <v>1.859</v>
      </c>
      <c r="O71" s="25">
        <v>0.631</v>
      </c>
      <c r="P71" s="23">
        <v>95</v>
      </c>
      <c r="Q71" s="47">
        <v>446</v>
      </c>
      <c r="R71" s="30">
        <v>6.02</v>
      </c>
      <c r="T71" s="133"/>
    </row>
    <row r="72" spans="2:20" s="56" customFormat="1" ht="12.75">
      <c r="B72" s="46">
        <v>37895</v>
      </c>
      <c r="C72" s="22">
        <v>974059</v>
      </c>
      <c r="D72" s="22">
        <v>1174286</v>
      </c>
      <c r="E72" s="26">
        <v>257.0623234046105</v>
      </c>
      <c r="F72" s="23">
        <v>30.49201195439619</v>
      </c>
      <c r="G72" s="23">
        <v>43.667572675431586</v>
      </c>
      <c r="H72" s="28">
        <v>38049</v>
      </c>
      <c r="I72" s="26">
        <v>1608.1913261723</v>
      </c>
      <c r="J72" s="28">
        <v>38049</v>
      </c>
      <c r="K72" s="28">
        <v>66361</v>
      </c>
      <c r="L72" s="26">
        <v>209</v>
      </c>
      <c r="M72" s="21">
        <v>66.9</v>
      </c>
      <c r="N72" s="47">
        <v>1.877</v>
      </c>
      <c r="O72" s="25">
        <v>0.657</v>
      </c>
      <c r="P72" s="23">
        <v>95.5</v>
      </c>
      <c r="Q72" s="47">
        <v>448</v>
      </c>
      <c r="R72" s="30">
        <v>6.02</v>
      </c>
      <c r="T72" s="133"/>
    </row>
    <row r="73" spans="2:20" s="56" customFormat="1" ht="12.75">
      <c r="B73" s="46">
        <v>37926</v>
      </c>
      <c r="C73" s="22">
        <v>914747</v>
      </c>
      <c r="D73" s="22">
        <v>1088776</v>
      </c>
      <c r="E73" s="26">
        <v>267.82347950974776</v>
      </c>
      <c r="F73" s="32">
        <v>29.732315798916236</v>
      </c>
      <c r="G73" s="32">
        <v>44.73740457846189</v>
      </c>
      <c r="H73" s="28">
        <v>39665</v>
      </c>
      <c r="I73" s="26">
        <v>1492.004957048309</v>
      </c>
      <c r="J73" s="28">
        <v>39664.5</v>
      </c>
      <c r="K73" s="28">
        <v>66606</v>
      </c>
      <c r="L73" s="35">
        <v>189</v>
      </c>
      <c r="M73" s="32">
        <v>62.3</v>
      </c>
      <c r="N73" s="47">
        <v>1.867</v>
      </c>
      <c r="O73" s="25">
        <f>+N73/2.885</f>
        <v>0.6471403812824957</v>
      </c>
      <c r="P73" s="23">
        <v>94</v>
      </c>
      <c r="Q73" s="47">
        <v>451</v>
      </c>
      <c r="R73" s="30">
        <v>6.02</v>
      </c>
      <c r="T73" s="133"/>
    </row>
    <row r="74" spans="2:20" s="56" customFormat="1" ht="12.75">
      <c r="B74" s="46">
        <v>37956</v>
      </c>
      <c r="C74" s="22">
        <f>998013+10000</f>
        <v>1008013</v>
      </c>
      <c r="D74" s="22">
        <v>1217320</v>
      </c>
      <c r="E74" s="26">
        <v>265.701023497063</v>
      </c>
      <c r="F74" s="23">
        <v>26.58155475282423</v>
      </c>
      <c r="G74" s="23">
        <v>45.65331206995884</v>
      </c>
      <c r="H74" s="28">
        <v>37741</v>
      </c>
      <c r="I74" s="26">
        <v>1488.890537116133</v>
      </c>
      <c r="J74" s="28">
        <v>37741</v>
      </c>
      <c r="K74" s="28">
        <v>61084</v>
      </c>
      <c r="L74" s="35">
        <f>+E74-38</f>
        <v>227.70102349706298</v>
      </c>
      <c r="M74" s="32">
        <v>66</v>
      </c>
      <c r="N74" s="50">
        <v>1.938</v>
      </c>
      <c r="O74" s="36">
        <f>+N74/2.96</f>
        <v>0.6547297297297298</v>
      </c>
      <c r="P74" s="32">
        <v>95.8</v>
      </c>
      <c r="Q74" s="50">
        <v>451</v>
      </c>
      <c r="R74" s="37">
        <f>+R73*1.02</f>
        <v>6.1404</v>
      </c>
      <c r="T74" s="133"/>
    </row>
    <row r="75" spans="2:20" s="56" customFormat="1" ht="12.75">
      <c r="B75" s="6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140"/>
      <c r="T75" s="133"/>
    </row>
    <row r="76" spans="2:20" s="56" customFormat="1" ht="12.75">
      <c r="B76" s="52">
        <v>2004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43"/>
      <c r="T76" s="133"/>
    </row>
    <row r="77" spans="2:20" s="56" customFormat="1" ht="12.75"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43"/>
      <c r="T77" s="133"/>
    </row>
    <row r="78" spans="2:20" s="56" customFormat="1" ht="12.75">
      <c r="B78" s="53">
        <v>37987</v>
      </c>
      <c r="C78" s="22">
        <v>924354</v>
      </c>
      <c r="D78" s="22">
        <v>1112922.75</v>
      </c>
      <c r="E78" s="26">
        <v>236.97765902733394</v>
      </c>
      <c r="F78" s="54">
        <v>31.0306737948418</v>
      </c>
      <c r="G78" s="54">
        <v>43.40327321693444</v>
      </c>
      <c r="H78" s="55">
        <v>35241</v>
      </c>
      <c r="I78" s="55">
        <v>1503</v>
      </c>
      <c r="J78" s="28">
        <v>35279</v>
      </c>
      <c r="K78" s="50">
        <v>59888</v>
      </c>
      <c r="L78" s="33">
        <v>202</v>
      </c>
      <c r="M78" s="33">
        <v>64.49</v>
      </c>
      <c r="N78" s="33">
        <v>1.878</v>
      </c>
      <c r="O78" s="36">
        <v>0.663</v>
      </c>
      <c r="P78" s="33">
        <v>93.2</v>
      </c>
      <c r="Q78" s="33">
        <v>454</v>
      </c>
      <c r="R78" s="37">
        <v>6.15</v>
      </c>
      <c r="T78" s="133"/>
    </row>
    <row r="79" spans="2:20" s="56" customFormat="1" ht="12.75">
      <c r="B79" s="53">
        <v>38018</v>
      </c>
      <c r="C79" s="22">
        <v>874427</v>
      </c>
      <c r="D79" s="22">
        <v>1057085.75</v>
      </c>
      <c r="E79" s="26">
        <v>222.44048589287615</v>
      </c>
      <c r="F79" s="54">
        <v>28.674464657468484</v>
      </c>
      <c r="G79" s="54">
        <v>45.10390653489478</v>
      </c>
      <c r="H79" s="55">
        <v>36978</v>
      </c>
      <c r="I79" s="55">
        <v>1562</v>
      </c>
      <c r="J79" s="28">
        <v>37146</v>
      </c>
      <c r="K79" s="50">
        <v>64498</v>
      </c>
      <c r="L79" s="33">
        <v>185</v>
      </c>
      <c r="M79" s="33">
        <v>63.21</v>
      </c>
      <c r="N79" s="33">
        <v>1.985</v>
      </c>
      <c r="O79" s="36">
        <v>0.677</v>
      </c>
      <c r="P79" s="33">
        <v>97.1</v>
      </c>
      <c r="Q79" s="33">
        <v>448</v>
      </c>
      <c r="R79" s="37">
        <v>6.21</v>
      </c>
      <c r="T79" s="133"/>
    </row>
    <row r="80" spans="2:20" s="56" customFormat="1" ht="12.75">
      <c r="B80" s="53">
        <v>38047</v>
      </c>
      <c r="C80" s="22">
        <v>1037564</v>
      </c>
      <c r="D80" s="22">
        <v>1238879</v>
      </c>
      <c r="E80" s="26">
        <v>259.54948653887976</v>
      </c>
      <c r="F80" s="54">
        <v>29.089518115012158</v>
      </c>
      <c r="G80" s="54">
        <v>44.2778973929977</v>
      </c>
      <c r="H80" s="55">
        <v>43960</v>
      </c>
      <c r="I80" s="55">
        <v>1626</v>
      </c>
      <c r="J80" s="28">
        <v>44117.5</v>
      </c>
      <c r="K80" s="33">
        <v>79511</v>
      </c>
      <c r="L80" s="33">
        <v>216</v>
      </c>
      <c r="M80" s="33">
        <v>68.73</v>
      </c>
      <c r="N80" s="33">
        <v>1.956</v>
      </c>
      <c r="O80" s="36">
        <v>0.68</v>
      </c>
      <c r="P80" s="32">
        <v>95.2</v>
      </c>
      <c r="Q80" s="33">
        <v>453</v>
      </c>
      <c r="R80" s="37">
        <v>6.48</v>
      </c>
      <c r="T80" s="133"/>
    </row>
    <row r="81" spans="2:20" s="56" customFormat="1" ht="12.75">
      <c r="B81" s="57">
        <v>38078</v>
      </c>
      <c r="C81" s="22">
        <v>923158</v>
      </c>
      <c r="D81" s="22">
        <v>1108777</v>
      </c>
      <c r="E81" s="26">
        <v>227.24696493315284</v>
      </c>
      <c r="F81" s="54">
        <v>26.759307415474847</v>
      </c>
      <c r="G81" s="54">
        <v>46.34745998462829</v>
      </c>
      <c r="H81" s="55">
        <v>41869</v>
      </c>
      <c r="I81" s="55">
        <v>1641</v>
      </c>
      <c r="J81" s="28">
        <v>42068.5</v>
      </c>
      <c r="K81" s="33">
        <v>75453</v>
      </c>
      <c r="L81" s="33">
        <v>185</v>
      </c>
      <c r="M81" s="33">
        <v>61.05</v>
      </c>
      <c r="N81" s="50">
        <v>2.058</v>
      </c>
      <c r="O81" s="34">
        <v>0.727</v>
      </c>
      <c r="P81" s="33">
        <v>99.7</v>
      </c>
      <c r="Q81" s="50">
        <v>448</v>
      </c>
      <c r="R81" s="37">
        <v>6.51</v>
      </c>
      <c r="T81" s="133"/>
    </row>
    <row r="82" spans="2:20" s="56" customFormat="1" ht="12.75">
      <c r="B82" s="57">
        <v>38108</v>
      </c>
      <c r="C82" s="22">
        <v>995843</v>
      </c>
      <c r="D82" s="22">
        <v>1190677</v>
      </c>
      <c r="E82" s="26">
        <v>244.86869158455283</v>
      </c>
      <c r="F82" s="54">
        <v>27.246926405179977</v>
      </c>
      <c r="G82" s="54">
        <v>48.11560145636453</v>
      </c>
      <c r="H82" s="55">
        <v>42874</v>
      </c>
      <c r="I82" s="55">
        <v>1612</v>
      </c>
      <c r="J82" s="28">
        <v>43192</v>
      </c>
      <c r="K82" s="33">
        <v>74369</v>
      </c>
      <c r="L82" s="33">
        <v>202</v>
      </c>
      <c r="M82" s="33">
        <v>64.18</v>
      </c>
      <c r="N82" s="50">
        <v>2.019</v>
      </c>
      <c r="O82" s="34">
        <f>+N82/2.923</f>
        <v>0.6907287033869313</v>
      </c>
      <c r="P82" s="33">
        <v>96.2</v>
      </c>
      <c r="Q82" s="50">
        <v>448</v>
      </c>
      <c r="R82" s="37">
        <v>6.54</v>
      </c>
      <c r="T82" s="133"/>
    </row>
    <row r="83" spans="2:18" ht="12.75">
      <c r="B83" s="57">
        <v>38139</v>
      </c>
      <c r="C83" s="22">
        <v>1066933</v>
      </c>
      <c r="D83" s="22">
        <v>1255379</v>
      </c>
      <c r="E83" s="26">
        <v>261.64506623782967</v>
      </c>
      <c r="F83" s="54">
        <v>27.88753015110914</v>
      </c>
      <c r="G83" s="54">
        <v>48.50037653049132</v>
      </c>
      <c r="H83" s="55">
        <v>56985</v>
      </c>
      <c r="I83" s="55">
        <v>1575</v>
      </c>
      <c r="J83" s="28">
        <v>57348</v>
      </c>
      <c r="K83" s="33">
        <v>96379</v>
      </c>
      <c r="L83" s="33">
        <v>205</v>
      </c>
      <c r="M83" s="33">
        <v>67.15</v>
      </c>
      <c r="N83" s="50">
        <v>1.943</v>
      </c>
      <c r="O83" s="34">
        <v>0.656</v>
      </c>
      <c r="P83" s="33">
        <v>92.6</v>
      </c>
      <c r="Q83" s="50">
        <v>448</v>
      </c>
      <c r="R83" s="37">
        <v>6.49</v>
      </c>
    </row>
    <row r="84" spans="2:50" ht="12.75">
      <c r="B84" s="57">
        <v>38169</v>
      </c>
      <c r="C84" s="22">
        <v>1042511</v>
      </c>
      <c r="D84" s="22">
        <v>1230019</v>
      </c>
      <c r="E84" s="26">
        <v>259.9529461524555</v>
      </c>
      <c r="F84" s="54">
        <v>29.381568725172603</v>
      </c>
      <c r="G84" s="54">
        <v>47.36351954188105</v>
      </c>
      <c r="H84" s="55">
        <v>62410</v>
      </c>
      <c r="I84" s="55">
        <v>1535</v>
      </c>
      <c r="J84" s="28">
        <v>62566</v>
      </c>
      <c r="K84" s="33">
        <v>104397</v>
      </c>
      <c r="L84" s="35">
        <v>198</v>
      </c>
      <c r="M84" s="33">
        <v>62.71</v>
      </c>
      <c r="N84" s="50">
        <v>2.001</v>
      </c>
      <c r="O84" s="34">
        <v>0.677</v>
      </c>
      <c r="P84" s="33">
        <v>94.5</v>
      </c>
      <c r="Q84" s="50">
        <v>447</v>
      </c>
      <c r="R84" s="37">
        <v>6.51</v>
      </c>
      <c r="S84" s="56"/>
      <c r="T84" s="133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</row>
    <row r="85" spans="2:19" ht="12.75">
      <c r="B85" s="58">
        <v>38200</v>
      </c>
      <c r="C85" s="22">
        <v>1031183</v>
      </c>
      <c r="D85" s="22">
        <v>1231635</v>
      </c>
      <c r="E85" s="26">
        <v>259.45035983085324</v>
      </c>
      <c r="F85" s="54">
        <v>29.374123891153843</v>
      </c>
      <c r="G85" s="54">
        <v>47.07286015430217</v>
      </c>
      <c r="H85" s="55">
        <v>68711</v>
      </c>
      <c r="I85" s="55">
        <v>1505</v>
      </c>
      <c r="J85" s="28">
        <v>68757</v>
      </c>
      <c r="K85" s="33">
        <v>109370</v>
      </c>
      <c r="L85" s="35">
        <v>191</v>
      </c>
      <c r="M85" s="33">
        <v>60.63</v>
      </c>
      <c r="N85" s="50">
        <v>2.009</v>
      </c>
      <c r="O85" s="34">
        <v>0.695</v>
      </c>
      <c r="P85" s="33">
        <v>96.7</v>
      </c>
      <c r="Q85" s="50">
        <v>450</v>
      </c>
      <c r="R85" s="37">
        <v>6.54</v>
      </c>
      <c r="S85" s="56"/>
    </row>
    <row r="86" spans="2:19" ht="12.75">
      <c r="B86" s="58">
        <v>38231</v>
      </c>
      <c r="C86" s="22">
        <v>1031916</v>
      </c>
      <c r="D86" s="22">
        <v>1215289</v>
      </c>
      <c r="E86" s="26">
        <v>261.34108783076033</v>
      </c>
      <c r="F86" s="54">
        <v>31.43464087478341</v>
      </c>
      <c r="G86" s="54">
        <v>46.35118598936868</v>
      </c>
      <c r="H86" s="55">
        <v>61903</v>
      </c>
      <c r="I86" s="55">
        <v>1525</v>
      </c>
      <c r="J86" s="28">
        <v>61725.5</v>
      </c>
      <c r="K86" s="33">
        <v>101301</v>
      </c>
      <c r="L86" s="35">
        <v>199</v>
      </c>
      <c r="M86" s="33">
        <v>65.5</v>
      </c>
      <c r="N86" s="34">
        <v>2.11</v>
      </c>
      <c r="O86" s="34">
        <v>0.708</v>
      </c>
      <c r="P86" s="32">
        <v>97</v>
      </c>
      <c r="Q86" s="50">
        <v>452</v>
      </c>
      <c r="R86" s="37">
        <v>6.7</v>
      </c>
      <c r="S86" s="56"/>
    </row>
    <row r="87" spans="2:19" ht="12.75">
      <c r="B87" s="58">
        <v>38261</v>
      </c>
      <c r="C87" s="22">
        <v>1004862</v>
      </c>
      <c r="D87" s="22">
        <v>1180964</v>
      </c>
      <c r="E87" s="26">
        <v>257.0623234046105</v>
      </c>
      <c r="F87" s="54">
        <v>32.11868055364717</v>
      </c>
      <c r="G87" s="54">
        <v>45.96393089893873</v>
      </c>
      <c r="H87" s="55">
        <v>47869</v>
      </c>
      <c r="I87" s="55">
        <v>1559</v>
      </c>
      <c r="J87" s="28">
        <v>47720</v>
      </c>
      <c r="K87" s="50">
        <v>79440</v>
      </c>
      <c r="L87" s="35">
        <v>209</v>
      </c>
      <c r="M87" s="33">
        <v>66.29</v>
      </c>
      <c r="N87" s="34">
        <v>2.024</v>
      </c>
      <c r="O87" s="34">
        <v>0.679</v>
      </c>
      <c r="P87" s="32">
        <v>92.5</v>
      </c>
      <c r="Q87" s="50">
        <v>458</v>
      </c>
      <c r="R87" s="37">
        <v>6.71</v>
      </c>
      <c r="S87" s="56"/>
    </row>
    <row r="88" spans="2:20" s="56" customFormat="1" ht="12.75">
      <c r="B88" s="58">
        <v>38292</v>
      </c>
      <c r="C88" s="22">
        <v>1040592</v>
      </c>
      <c r="D88" s="22">
        <v>1226200</v>
      </c>
      <c r="E88" s="26">
        <v>267.82347950974776</v>
      </c>
      <c r="F88" s="54">
        <v>31.776727576201612</v>
      </c>
      <c r="G88" s="54">
        <v>46.203456608021426</v>
      </c>
      <c r="H88" s="55">
        <v>71308</v>
      </c>
      <c r="I88" s="55">
        <v>1460</v>
      </c>
      <c r="J88" s="28">
        <v>70436</v>
      </c>
      <c r="K88" s="50">
        <v>109815</v>
      </c>
      <c r="L88" s="35">
        <v>197</v>
      </c>
      <c r="M88" s="33">
        <v>64.93</v>
      </c>
      <c r="N88" s="34">
        <v>1.979</v>
      </c>
      <c r="O88" s="34">
        <v>0.67</v>
      </c>
      <c r="P88" s="32">
        <v>91.6</v>
      </c>
      <c r="Q88" s="50">
        <v>461</v>
      </c>
      <c r="R88" s="37">
        <v>6.77</v>
      </c>
      <c r="T88" s="133"/>
    </row>
    <row r="89" spans="2:20" s="56" customFormat="1" ht="13.5" customHeight="1">
      <c r="B89" s="58">
        <v>38322</v>
      </c>
      <c r="C89" s="22">
        <v>1055204</v>
      </c>
      <c r="D89" s="22">
        <v>1247162</v>
      </c>
      <c r="E89" s="26">
        <v>265.701023497063</v>
      </c>
      <c r="F89" s="54">
        <v>28.660557423800743</v>
      </c>
      <c r="G89" s="54">
        <v>47.7450469873127</v>
      </c>
      <c r="H89" s="55">
        <v>60931</v>
      </c>
      <c r="I89" s="55">
        <v>1485</v>
      </c>
      <c r="J89" s="28">
        <v>61700.5</v>
      </c>
      <c r="K89" s="141">
        <v>98649</v>
      </c>
      <c r="L89" s="142">
        <v>205</v>
      </c>
      <c r="M89" s="143">
        <v>64.87</v>
      </c>
      <c r="N89" s="144">
        <v>2.008</v>
      </c>
      <c r="O89" s="144">
        <v>0.676</v>
      </c>
      <c r="P89" s="145">
        <v>92</v>
      </c>
      <c r="Q89" s="141">
        <v>462</v>
      </c>
      <c r="R89" s="146">
        <v>6.89</v>
      </c>
      <c r="T89" s="133"/>
    </row>
    <row r="90" spans="2:20" s="62" customFormat="1" ht="13.5" customHeight="1">
      <c r="B90" s="6"/>
      <c r="C90" s="5"/>
      <c r="D90" s="49"/>
      <c r="E90" s="49"/>
      <c r="F90" s="5"/>
      <c r="G90" s="5"/>
      <c r="H90" s="49"/>
      <c r="I90" s="5"/>
      <c r="J90" s="49"/>
      <c r="K90" s="5"/>
      <c r="L90" s="49"/>
      <c r="M90" s="5"/>
      <c r="N90" s="5"/>
      <c r="O90" s="5"/>
      <c r="P90" s="5"/>
      <c r="Q90" s="5"/>
      <c r="R90" s="43"/>
      <c r="S90" s="56"/>
      <c r="T90" s="75"/>
    </row>
    <row r="91" spans="2:20" s="62" customFormat="1" ht="13.5" customHeight="1">
      <c r="B91" s="58">
        <v>38353</v>
      </c>
      <c r="C91" s="22">
        <v>952661</v>
      </c>
      <c r="D91" s="22">
        <v>1129462</v>
      </c>
      <c r="E91" s="55">
        <v>246</v>
      </c>
      <c r="F91" s="54">
        <v>32.23615394380086</v>
      </c>
      <c r="G91" s="54">
        <v>44.55514028053722</v>
      </c>
      <c r="H91" s="35">
        <v>56851</v>
      </c>
      <c r="I91" s="55">
        <v>1466</v>
      </c>
      <c r="J91" s="28">
        <v>56970.5</v>
      </c>
      <c r="K91" s="55">
        <v>89923</v>
      </c>
      <c r="L91" s="59">
        <v>190</v>
      </c>
      <c r="M91" s="60">
        <v>58.51</v>
      </c>
      <c r="N91" s="34">
        <v>1.982</v>
      </c>
      <c r="O91" s="34">
        <f>+N91/2.9433</f>
        <v>0.6733938096694188</v>
      </c>
      <c r="P91" s="35">
        <v>90.8</v>
      </c>
      <c r="Q91" s="55">
        <v>462</v>
      </c>
      <c r="R91" s="37">
        <v>6.9</v>
      </c>
      <c r="S91" s="56"/>
      <c r="T91" s="75"/>
    </row>
    <row r="92" spans="2:20" s="62" customFormat="1" ht="13.5" customHeight="1">
      <c r="B92" s="58">
        <v>38384</v>
      </c>
      <c r="C92" s="22">
        <v>920807</v>
      </c>
      <c r="D92" s="22">
        <v>1089900</v>
      </c>
      <c r="E92" s="35">
        <v>237</v>
      </c>
      <c r="F92" s="54">
        <v>32.41761211729104</v>
      </c>
      <c r="G92" s="54">
        <v>43.90463970036083</v>
      </c>
      <c r="H92" s="35">
        <v>52939</v>
      </c>
      <c r="I92" s="55">
        <v>1513</v>
      </c>
      <c r="J92" s="28">
        <v>53281.5</v>
      </c>
      <c r="K92" s="55">
        <v>88411</v>
      </c>
      <c r="L92" s="59">
        <v>184</v>
      </c>
      <c r="M92" s="60">
        <v>62.74</v>
      </c>
      <c r="N92" s="34">
        <v>2.123</v>
      </c>
      <c r="O92" s="34">
        <v>0.728</v>
      </c>
      <c r="P92" s="35">
        <v>97.3</v>
      </c>
      <c r="Q92" s="55">
        <v>458</v>
      </c>
      <c r="R92" s="37">
        <v>7.21</v>
      </c>
      <c r="S92" s="56"/>
      <c r="T92" s="75"/>
    </row>
    <row r="93" spans="2:20" s="62" customFormat="1" ht="13.5" customHeight="1">
      <c r="B93" s="58">
        <v>38412</v>
      </c>
      <c r="C93" s="22">
        <v>949979</v>
      </c>
      <c r="D93" s="22">
        <v>1132123</v>
      </c>
      <c r="E93" s="35">
        <v>246</v>
      </c>
      <c r="F93" s="54">
        <v>32.331798277703165</v>
      </c>
      <c r="G93" s="54">
        <v>43.01328383905364</v>
      </c>
      <c r="H93" s="35">
        <v>57936</v>
      </c>
      <c r="I93" s="55">
        <v>1557</v>
      </c>
      <c r="J93" s="28">
        <v>58239.5</v>
      </c>
      <c r="K93" s="55">
        <v>97557</v>
      </c>
      <c r="L93" s="59">
        <v>187</v>
      </c>
      <c r="M93" s="60">
        <v>57.36</v>
      </c>
      <c r="N93" s="34">
        <v>2.245</v>
      </c>
      <c r="O93" s="34">
        <v>0.768</v>
      </c>
      <c r="P93" s="35">
        <v>100.9</v>
      </c>
      <c r="Q93" s="55">
        <v>455</v>
      </c>
      <c r="R93" s="37">
        <v>7.79</v>
      </c>
      <c r="S93" s="56"/>
      <c r="T93" s="133"/>
    </row>
    <row r="94" spans="2:20" s="62" customFormat="1" ht="15">
      <c r="B94" s="58">
        <v>38443</v>
      </c>
      <c r="C94" s="22">
        <v>1012129</v>
      </c>
      <c r="D94" s="22">
        <v>1208668</v>
      </c>
      <c r="E94" s="35">
        <v>262</v>
      </c>
      <c r="F94" s="54">
        <v>32.55017425493294</v>
      </c>
      <c r="G94" s="54">
        <v>43.53485543312751</v>
      </c>
      <c r="H94" s="35">
        <v>49539</v>
      </c>
      <c r="I94" s="21">
        <v>1724</v>
      </c>
      <c r="J94" s="28">
        <v>49718.5</v>
      </c>
      <c r="K94" s="55">
        <v>91743</v>
      </c>
      <c r="L94" s="59">
        <v>212</v>
      </c>
      <c r="M94" s="60">
        <v>67.39</v>
      </c>
      <c r="N94" s="34">
        <v>2.215</v>
      </c>
      <c r="O94" s="34">
        <f>+N94/2.9</f>
        <v>0.7637931034482759</v>
      </c>
      <c r="P94" s="35">
        <v>98</v>
      </c>
      <c r="Q94" s="55">
        <v>452</v>
      </c>
      <c r="R94" s="37">
        <f>+R93*1.01</f>
        <v>7.8679</v>
      </c>
      <c r="S94" s="56"/>
      <c r="T94" s="51"/>
    </row>
    <row r="95" spans="2:20" s="38" customFormat="1" ht="12.75">
      <c r="B95" s="58">
        <v>38473</v>
      </c>
      <c r="C95" s="22">
        <v>1070782</v>
      </c>
      <c r="D95" s="22">
        <v>1263811</v>
      </c>
      <c r="E95" s="35">
        <v>273</v>
      </c>
      <c r="F95" s="54">
        <v>32.774579772857734</v>
      </c>
      <c r="G95" s="54">
        <v>43.99344183052407</v>
      </c>
      <c r="H95" s="35">
        <v>67688</v>
      </c>
      <c r="I95" s="33">
        <v>1687</v>
      </c>
      <c r="J95" s="28">
        <v>67901</v>
      </c>
      <c r="K95" s="55">
        <v>122415</v>
      </c>
      <c r="L95" s="59">
        <v>206</v>
      </c>
      <c r="M95" s="60">
        <v>63.08</v>
      </c>
      <c r="N95" s="34">
        <v>2.204</v>
      </c>
      <c r="O95" s="34">
        <f>+N95/2.89</f>
        <v>0.7626297577854672</v>
      </c>
      <c r="P95" s="35">
        <v>97.6</v>
      </c>
      <c r="Q95" s="55">
        <v>453</v>
      </c>
      <c r="R95" s="37">
        <v>7.82</v>
      </c>
      <c r="S95" s="56"/>
      <c r="T95" s="51"/>
    </row>
    <row r="96" spans="2:20" s="62" customFormat="1" ht="15">
      <c r="B96" s="58">
        <v>38504</v>
      </c>
      <c r="C96" s="22">
        <v>1026321</v>
      </c>
      <c r="D96" s="22">
        <v>1211936</v>
      </c>
      <c r="E96" s="35">
        <v>263</v>
      </c>
      <c r="F96" s="54">
        <v>32.118848903734104</v>
      </c>
      <c r="G96" s="54">
        <v>44.87659507199963</v>
      </c>
      <c r="H96" s="33">
        <v>76274</v>
      </c>
      <c r="I96" s="21">
        <v>1704</v>
      </c>
      <c r="J96" s="28">
        <v>76601</v>
      </c>
      <c r="K96" s="55">
        <v>136556</v>
      </c>
      <c r="L96" s="59">
        <v>187</v>
      </c>
      <c r="M96" s="60">
        <v>59.11</v>
      </c>
      <c r="N96" s="34">
        <v>2.228</v>
      </c>
      <c r="O96" s="34">
        <v>0.774</v>
      </c>
      <c r="P96" s="35">
        <v>98.5</v>
      </c>
      <c r="Q96" s="55">
        <v>451</v>
      </c>
      <c r="R96" s="37">
        <v>7.82</v>
      </c>
      <c r="S96" s="56"/>
      <c r="T96" s="75"/>
    </row>
    <row r="97" spans="2:20" s="38" customFormat="1" ht="15">
      <c r="B97" s="61">
        <v>38534</v>
      </c>
      <c r="C97" s="22">
        <v>998493</v>
      </c>
      <c r="D97" s="22">
        <v>1195688</v>
      </c>
      <c r="E97" s="35">
        <v>259</v>
      </c>
      <c r="F97" s="54">
        <v>32.84487236007394</v>
      </c>
      <c r="G97" s="54">
        <v>44.324476253324875</v>
      </c>
      <c r="H97" s="35">
        <v>75871</v>
      </c>
      <c r="I97" s="21">
        <v>1627</v>
      </c>
      <c r="J97" s="28">
        <v>76163.5</v>
      </c>
      <c r="K97" s="55">
        <v>129419</v>
      </c>
      <c r="L97" s="59">
        <v>183</v>
      </c>
      <c r="M97" s="60">
        <v>56.17</v>
      </c>
      <c r="N97" s="34">
        <v>2.302</v>
      </c>
      <c r="O97" s="34">
        <v>0.801</v>
      </c>
      <c r="P97" s="35">
        <v>100.5</v>
      </c>
      <c r="Q97" s="55">
        <v>448</v>
      </c>
      <c r="R97" s="37">
        <v>7.85</v>
      </c>
      <c r="S97" s="56"/>
      <c r="T97" s="51"/>
    </row>
    <row r="98" spans="2:20" s="38" customFormat="1" ht="15">
      <c r="B98" s="61">
        <v>38565</v>
      </c>
      <c r="C98" s="22">
        <v>1058084</v>
      </c>
      <c r="D98" s="22">
        <v>1268742</v>
      </c>
      <c r="E98" s="59">
        <v>277</v>
      </c>
      <c r="F98" s="54">
        <v>35.02170642656066</v>
      </c>
      <c r="G98" s="54">
        <v>42.556695179719554</v>
      </c>
      <c r="H98" s="35">
        <v>62436</v>
      </c>
      <c r="I98" s="21">
        <v>1743</v>
      </c>
      <c r="J98" s="28">
        <v>62803</v>
      </c>
      <c r="K98" s="55">
        <v>117776</v>
      </c>
      <c r="L98" s="59">
        <v>215</v>
      </c>
      <c r="M98" s="59">
        <v>65.6</v>
      </c>
      <c r="N98" s="34">
        <v>2.318</v>
      </c>
      <c r="O98" s="34">
        <v>0.803</v>
      </c>
      <c r="P98" s="63">
        <v>100</v>
      </c>
      <c r="Q98" s="55">
        <v>453</v>
      </c>
      <c r="R98" s="64">
        <v>7.9</v>
      </c>
      <c r="S98" s="56"/>
      <c r="T98" s="51"/>
    </row>
    <row r="99" spans="2:20" s="38" customFormat="1" ht="15">
      <c r="B99" s="61">
        <v>38596</v>
      </c>
      <c r="C99" s="22">
        <v>1034813</v>
      </c>
      <c r="D99" s="22">
        <v>1239242</v>
      </c>
      <c r="E99" s="35">
        <v>273</v>
      </c>
      <c r="F99" s="54">
        <v>35.5963925597376</v>
      </c>
      <c r="G99" s="54">
        <v>42.24047828086458</v>
      </c>
      <c r="H99" s="33">
        <v>64968</v>
      </c>
      <c r="I99" s="33">
        <v>1766</v>
      </c>
      <c r="J99" s="28">
        <v>65341.5</v>
      </c>
      <c r="K99" s="55">
        <v>123223</v>
      </c>
      <c r="L99" s="59">
        <v>208</v>
      </c>
      <c r="M99" s="59">
        <v>65.6</v>
      </c>
      <c r="N99" s="34">
        <v>2.24</v>
      </c>
      <c r="O99" s="34">
        <v>0.77</v>
      </c>
      <c r="P99" s="63">
        <v>95</v>
      </c>
      <c r="Q99" s="55">
        <v>453</v>
      </c>
      <c r="R99" s="64">
        <v>7.95</v>
      </c>
      <c r="S99" s="56"/>
      <c r="T99" s="51"/>
    </row>
    <row r="100" spans="2:20" s="56" customFormat="1" ht="15">
      <c r="B100" s="61">
        <v>38626</v>
      </c>
      <c r="C100" s="22">
        <v>1030737</v>
      </c>
      <c r="D100" s="22">
        <v>1237289</v>
      </c>
      <c r="E100" s="35">
        <v>267</v>
      </c>
      <c r="F100" s="54">
        <v>32.82085071937825</v>
      </c>
      <c r="G100" s="54">
        <v>44.27142376549976</v>
      </c>
      <c r="H100" s="33">
        <v>65335</v>
      </c>
      <c r="I100" s="33">
        <v>1641</v>
      </c>
      <c r="J100" s="28">
        <v>65601</v>
      </c>
      <c r="K100" s="33">
        <v>114619</v>
      </c>
      <c r="L100" s="59">
        <v>202</v>
      </c>
      <c r="M100" s="59">
        <v>61.65</v>
      </c>
      <c r="N100" s="34">
        <v>2.323</v>
      </c>
      <c r="O100" s="33">
        <v>0.788</v>
      </c>
      <c r="P100" s="35">
        <v>98</v>
      </c>
      <c r="Q100" s="50">
        <v>455</v>
      </c>
      <c r="R100" s="64">
        <v>7.93</v>
      </c>
      <c r="T100" s="133"/>
    </row>
    <row r="101" spans="2:20" s="56" customFormat="1" ht="15">
      <c r="B101" s="65">
        <v>38657</v>
      </c>
      <c r="C101" s="22">
        <v>1005034</v>
      </c>
      <c r="D101" s="22">
        <v>1184200</v>
      </c>
      <c r="E101" s="66">
        <v>271</v>
      </c>
      <c r="F101" s="67">
        <v>33.01223951582748</v>
      </c>
      <c r="G101" s="67">
        <v>39.59412875545569</v>
      </c>
      <c r="H101" s="68">
        <v>82184</v>
      </c>
      <c r="I101" s="68">
        <v>1783</v>
      </c>
      <c r="J101" s="28">
        <v>82840</v>
      </c>
      <c r="K101" s="68">
        <v>158539</v>
      </c>
      <c r="L101" s="69">
        <v>188</v>
      </c>
      <c r="M101" s="69">
        <v>59.44</v>
      </c>
      <c r="N101" s="70">
        <v>2.465</v>
      </c>
      <c r="O101" s="71">
        <f>+N101/2.824</f>
        <v>0.8728753541076487</v>
      </c>
      <c r="P101" s="66">
        <v>104</v>
      </c>
      <c r="Q101" s="72">
        <v>457</v>
      </c>
      <c r="R101" s="73">
        <v>8.5</v>
      </c>
      <c r="T101" s="133"/>
    </row>
    <row r="102" spans="2:20" s="41" customFormat="1" ht="15.75">
      <c r="B102" s="58">
        <v>38687</v>
      </c>
      <c r="C102" s="22">
        <v>970585</v>
      </c>
      <c r="D102" s="28">
        <v>1090648</v>
      </c>
      <c r="E102" s="35">
        <v>258</v>
      </c>
      <c r="F102" s="54">
        <v>27.2</v>
      </c>
      <c r="G102" s="54">
        <v>41.3</v>
      </c>
      <c r="H102" s="33">
        <v>59406</v>
      </c>
      <c r="I102" s="33">
        <v>1868</v>
      </c>
      <c r="J102" s="28">
        <v>59753.5</v>
      </c>
      <c r="K102" s="33">
        <v>118938</v>
      </c>
      <c r="L102" s="59">
        <v>200</v>
      </c>
      <c r="M102" s="59">
        <v>59</v>
      </c>
      <c r="N102" s="34">
        <v>2.413</v>
      </c>
      <c r="O102" s="36">
        <f>+N102/(3.0115*0.85)</f>
        <v>0.9426609760623492</v>
      </c>
      <c r="P102" s="35">
        <v>102</v>
      </c>
      <c r="Q102" s="50">
        <v>475</v>
      </c>
      <c r="R102" s="64">
        <v>8.88</v>
      </c>
      <c r="S102" s="56"/>
      <c r="T102" s="101"/>
    </row>
    <row r="103" spans="2:20" s="41" customFormat="1" ht="16.5" thickBot="1">
      <c r="B103" s="74"/>
      <c r="C103" s="75"/>
      <c r="D103" s="75"/>
      <c r="E103" s="76"/>
      <c r="F103" s="77"/>
      <c r="G103" s="77"/>
      <c r="H103" s="75"/>
      <c r="I103" s="75"/>
      <c r="J103" s="78"/>
      <c r="K103" s="75"/>
      <c r="L103" s="79"/>
      <c r="M103" s="79"/>
      <c r="N103" s="80"/>
      <c r="O103" s="81"/>
      <c r="P103" s="78"/>
      <c r="Q103" s="82"/>
      <c r="R103" s="83"/>
      <c r="S103" s="56"/>
      <c r="T103" s="96"/>
    </row>
    <row r="104" spans="2:20" s="41" customFormat="1" ht="15.75">
      <c r="B104" s="84">
        <v>38718</v>
      </c>
      <c r="C104" s="28">
        <v>969706</v>
      </c>
      <c r="D104" s="28">
        <v>1137982</v>
      </c>
      <c r="E104" s="85">
        <v>258</v>
      </c>
      <c r="F104" s="86">
        <v>30.198798395704628</v>
      </c>
      <c r="G104" s="86">
        <v>40.82877138790957</v>
      </c>
      <c r="H104" s="87">
        <v>55324</v>
      </c>
      <c r="I104" s="88">
        <v>1956</v>
      </c>
      <c r="J104" s="28">
        <v>55619</v>
      </c>
      <c r="K104" s="88">
        <v>114921</v>
      </c>
      <c r="L104" s="89">
        <v>202</v>
      </c>
      <c r="M104" s="89">
        <v>61.58</v>
      </c>
      <c r="N104" s="90">
        <v>2.372</v>
      </c>
      <c r="O104" s="90">
        <f>+(N104/(3.05*0.85))</f>
        <v>0.914946962391514</v>
      </c>
      <c r="P104" s="85">
        <v>100</v>
      </c>
      <c r="Q104" s="91">
        <v>487</v>
      </c>
      <c r="R104" s="92">
        <f>+R102*0.988</f>
        <v>8.77344</v>
      </c>
      <c r="S104" s="56"/>
      <c r="T104" s="96"/>
    </row>
    <row r="105" spans="2:20" s="41" customFormat="1" ht="15.75">
      <c r="B105" s="93">
        <v>38749</v>
      </c>
      <c r="C105" s="28">
        <v>848643</v>
      </c>
      <c r="D105" s="28">
        <v>1008070</v>
      </c>
      <c r="E105" s="66">
        <v>226</v>
      </c>
      <c r="F105" s="94">
        <v>28.658465701956697</v>
      </c>
      <c r="G105" s="94">
        <v>40.5501357785879</v>
      </c>
      <c r="H105" s="66">
        <v>41467</v>
      </c>
      <c r="I105" s="68">
        <v>1914</v>
      </c>
      <c r="J105" s="28">
        <v>41795</v>
      </c>
      <c r="K105" s="68">
        <v>87130</v>
      </c>
      <c r="L105" s="69">
        <v>185</v>
      </c>
      <c r="M105" s="59">
        <v>62.29</v>
      </c>
      <c r="N105" s="70">
        <v>2.508</v>
      </c>
      <c r="O105" s="70">
        <f>+N105/2.618</f>
        <v>0.957983193277311</v>
      </c>
      <c r="P105" s="66">
        <v>101</v>
      </c>
      <c r="Q105" s="72">
        <v>486</v>
      </c>
      <c r="R105" s="95">
        <v>8.9</v>
      </c>
      <c r="S105" s="56"/>
      <c r="T105" s="96"/>
    </row>
    <row r="106" spans="2:20" s="41" customFormat="1" ht="15.75">
      <c r="B106" s="58">
        <v>38777</v>
      </c>
      <c r="C106" s="28">
        <v>939066</v>
      </c>
      <c r="D106" s="28">
        <v>1114410</v>
      </c>
      <c r="E106" s="35">
        <v>258</v>
      </c>
      <c r="F106" s="32">
        <v>31.38399260309229</v>
      </c>
      <c r="G106" s="32">
        <v>36.77602660527851</v>
      </c>
      <c r="H106" s="66">
        <v>63541</v>
      </c>
      <c r="I106" s="35">
        <v>1845</v>
      </c>
      <c r="J106" s="28">
        <v>63796.5</v>
      </c>
      <c r="K106" s="33">
        <v>126583</v>
      </c>
      <c r="L106" s="59">
        <v>194</v>
      </c>
      <c r="M106" s="59">
        <v>59</v>
      </c>
      <c r="N106" s="34">
        <v>2.565</v>
      </c>
      <c r="O106" s="34">
        <f>+N106/(3.07*0.85)</f>
        <v>0.9829469246982181</v>
      </c>
      <c r="P106" s="35">
        <v>103.8</v>
      </c>
      <c r="Q106" s="50">
        <v>483</v>
      </c>
      <c r="R106" s="37">
        <v>9.39</v>
      </c>
      <c r="S106" s="56"/>
      <c r="T106" s="96"/>
    </row>
    <row r="107" spans="2:20" s="41" customFormat="1" ht="15.75">
      <c r="B107" s="58">
        <v>38808</v>
      </c>
      <c r="C107" s="28">
        <v>727113</v>
      </c>
      <c r="D107" s="28">
        <v>878920</v>
      </c>
      <c r="E107" s="35">
        <v>199</v>
      </c>
      <c r="F107" s="32">
        <v>26.969725792863546</v>
      </c>
      <c r="G107" s="32">
        <v>39.369785580346225</v>
      </c>
      <c r="H107" s="35">
        <v>22904</v>
      </c>
      <c r="I107" s="35">
        <v>1859</v>
      </c>
      <c r="J107" s="28">
        <v>23157</v>
      </c>
      <c r="K107" s="35">
        <v>48204</v>
      </c>
      <c r="L107" s="59">
        <v>176</v>
      </c>
      <c r="M107" s="35">
        <v>55.39</v>
      </c>
      <c r="N107" s="34">
        <v>2.359</v>
      </c>
      <c r="O107" s="34">
        <v>0.907</v>
      </c>
      <c r="P107" s="35">
        <v>94</v>
      </c>
      <c r="Q107" s="50">
        <v>490</v>
      </c>
      <c r="R107" s="37">
        <v>9.23</v>
      </c>
      <c r="S107" s="56"/>
      <c r="T107" s="96"/>
    </row>
    <row r="108" spans="2:20" s="41" customFormat="1" ht="15.75">
      <c r="B108" s="58">
        <v>38838</v>
      </c>
      <c r="C108" s="28">
        <v>829563</v>
      </c>
      <c r="D108" s="28">
        <v>1009008</v>
      </c>
      <c r="E108" s="35">
        <v>228</v>
      </c>
      <c r="F108" s="32">
        <v>26.486644015751388</v>
      </c>
      <c r="G108" s="32">
        <v>40.328935833463646</v>
      </c>
      <c r="H108" s="35">
        <v>7114</v>
      </c>
      <c r="I108" s="35">
        <v>3809</v>
      </c>
      <c r="J108" s="28">
        <v>7117.5</v>
      </c>
      <c r="K108" s="35">
        <v>29311</v>
      </c>
      <c r="L108" s="59">
        <v>221</v>
      </c>
      <c r="M108" s="35">
        <v>67.2</v>
      </c>
      <c r="N108" s="34">
        <v>2.241</v>
      </c>
      <c r="O108" s="34">
        <f>+N108/2.596</f>
        <v>0.863251155624037</v>
      </c>
      <c r="P108" s="35">
        <f>89/1.003</f>
        <v>88.73379860418744</v>
      </c>
      <c r="Q108" s="50">
        <v>483</v>
      </c>
      <c r="R108" s="37">
        <v>8.92</v>
      </c>
      <c r="S108" s="56"/>
      <c r="T108" s="96"/>
    </row>
    <row r="109" spans="2:20" s="41" customFormat="1" ht="15.75">
      <c r="B109" s="58">
        <v>38869</v>
      </c>
      <c r="C109" s="28">
        <v>872457</v>
      </c>
      <c r="D109" s="28">
        <v>1043997</v>
      </c>
      <c r="E109" s="35">
        <v>240</v>
      </c>
      <c r="F109" s="32">
        <v>28.93505863030355</v>
      </c>
      <c r="G109" s="32">
        <v>40.03602434592446</v>
      </c>
      <c r="H109" s="35">
        <v>23933</v>
      </c>
      <c r="I109" s="35">
        <v>2771</v>
      </c>
      <c r="J109" s="28">
        <v>24188</v>
      </c>
      <c r="K109" s="35">
        <v>74973</v>
      </c>
      <c r="L109" s="59">
        <v>214</v>
      </c>
      <c r="M109" s="59">
        <v>67.34</v>
      </c>
      <c r="N109" s="34">
        <v>2.123</v>
      </c>
      <c r="O109" s="34">
        <f>+N109/(3.08*0.85)</f>
        <v>0.8109243697478993</v>
      </c>
      <c r="P109" s="35">
        <v>83.8</v>
      </c>
      <c r="Q109" s="50">
        <v>482</v>
      </c>
      <c r="R109" s="37">
        <v>8.75</v>
      </c>
      <c r="S109" s="39"/>
      <c r="T109" s="96"/>
    </row>
    <row r="110" spans="2:20" s="41" customFormat="1" ht="15.75">
      <c r="B110" s="58">
        <v>38899</v>
      </c>
      <c r="C110" s="28">
        <v>927474</v>
      </c>
      <c r="D110" s="28">
        <v>1086324</v>
      </c>
      <c r="E110" s="35">
        <v>251</v>
      </c>
      <c r="F110" s="32">
        <v>30.187068245915672</v>
      </c>
      <c r="G110" s="32">
        <v>39.74870744110497</v>
      </c>
      <c r="H110" s="35">
        <v>42255</v>
      </c>
      <c r="I110" s="35">
        <v>2305</v>
      </c>
      <c r="J110" s="28">
        <v>42529.5</v>
      </c>
      <c r="K110" s="35">
        <v>106121</v>
      </c>
      <c r="L110" s="59">
        <v>207</v>
      </c>
      <c r="M110" s="59">
        <v>62.9</v>
      </c>
      <c r="N110" s="34">
        <v>2.234</v>
      </c>
      <c r="O110" s="34">
        <f>+N110/(3.08*0.85)</f>
        <v>0.8533231474407945</v>
      </c>
      <c r="P110" s="35">
        <v>87.5</v>
      </c>
      <c r="Q110" s="50">
        <v>484</v>
      </c>
      <c r="R110" s="37">
        <v>8.67</v>
      </c>
      <c r="S110" s="56"/>
      <c r="T110" s="96"/>
    </row>
    <row r="111" spans="2:20" s="56" customFormat="1" ht="12.75">
      <c r="B111" s="58">
        <v>38930</v>
      </c>
      <c r="C111" s="28">
        <v>1107940</v>
      </c>
      <c r="D111" s="28">
        <v>1282797</v>
      </c>
      <c r="E111" s="35">
        <v>298</v>
      </c>
      <c r="F111" s="32">
        <v>30.894173244011263</v>
      </c>
      <c r="G111" s="32">
        <v>41.4</v>
      </c>
      <c r="H111" s="35">
        <v>60412</v>
      </c>
      <c r="I111" s="35">
        <v>2127</v>
      </c>
      <c r="J111" s="28">
        <v>60684.5</v>
      </c>
      <c r="K111" s="35">
        <v>139136</v>
      </c>
      <c r="L111" s="59">
        <v>234</v>
      </c>
      <c r="M111" s="59">
        <v>71</v>
      </c>
      <c r="N111" s="34">
        <v>2.281</v>
      </c>
      <c r="O111" s="34">
        <v>0.872</v>
      </c>
      <c r="P111" s="35">
        <v>88.8</v>
      </c>
      <c r="Q111" s="50">
        <v>479</v>
      </c>
      <c r="R111" s="37">
        <v>8.68</v>
      </c>
      <c r="T111" s="71"/>
    </row>
    <row r="112" spans="2:20" s="41" customFormat="1" ht="15.75">
      <c r="B112" s="58">
        <v>38961</v>
      </c>
      <c r="C112" s="28">
        <v>1054905</v>
      </c>
      <c r="D112" s="28">
        <v>1224891</v>
      </c>
      <c r="E112" s="35">
        <v>281</v>
      </c>
      <c r="F112" s="32">
        <v>30.253152558557545</v>
      </c>
      <c r="G112" s="32">
        <v>41.9</v>
      </c>
      <c r="H112" s="35">
        <v>70858</v>
      </c>
      <c r="I112" s="35">
        <v>2173</v>
      </c>
      <c r="J112" s="28">
        <v>71279</v>
      </c>
      <c r="K112" s="35">
        <v>168480</v>
      </c>
      <c r="L112" s="59">
        <f>280-71</f>
        <v>209</v>
      </c>
      <c r="M112" s="59">
        <v>65</v>
      </c>
      <c r="N112" s="34">
        <v>2.249</v>
      </c>
      <c r="O112" s="34">
        <f>+N112/2.637</f>
        <v>0.8528631020098597</v>
      </c>
      <c r="P112" s="35">
        <v>87.6</v>
      </c>
      <c r="Q112" s="50">
        <v>475</v>
      </c>
      <c r="R112" s="37">
        <v>8.66</v>
      </c>
      <c r="S112" s="56"/>
      <c r="T112" s="132"/>
    </row>
    <row r="113" spans="2:20" s="41" customFormat="1" ht="15.75">
      <c r="B113" s="58">
        <v>38991</v>
      </c>
      <c r="C113" s="28">
        <v>1084299</v>
      </c>
      <c r="D113" s="28">
        <v>1256693</v>
      </c>
      <c r="E113" s="35">
        <v>281</v>
      </c>
      <c r="F113" s="32">
        <v>26.87956636449736</v>
      </c>
      <c r="G113" s="32">
        <v>43.7</v>
      </c>
      <c r="H113" s="35">
        <v>69331</v>
      </c>
      <c r="I113" s="35">
        <v>2144</v>
      </c>
      <c r="J113" s="28">
        <v>69600</v>
      </c>
      <c r="K113" s="35">
        <v>160775</v>
      </c>
      <c r="L113" s="59">
        <f>280-70</f>
        <v>210</v>
      </c>
      <c r="M113" s="59">
        <v>64</v>
      </c>
      <c r="N113" s="34">
        <v>2.309</v>
      </c>
      <c r="O113" s="34">
        <f>+N113/2.63</f>
        <v>0.8779467680608366</v>
      </c>
      <c r="P113" s="55">
        <v>90</v>
      </c>
      <c r="Q113" s="50">
        <v>477</v>
      </c>
      <c r="R113" s="97">
        <v>8.65</v>
      </c>
      <c r="S113" s="56"/>
      <c r="T113" s="132"/>
    </row>
    <row r="114" spans="2:20" s="41" customFormat="1" ht="15.75">
      <c r="B114" s="58">
        <v>39022</v>
      </c>
      <c r="C114" s="28">
        <v>1094598</v>
      </c>
      <c r="D114" s="28">
        <v>1272422</v>
      </c>
      <c r="E114" s="35">
        <f>1263*0.222</f>
        <v>280.386</v>
      </c>
      <c r="F114" s="32">
        <v>25.091080943891136</v>
      </c>
      <c r="G114" s="32">
        <v>45.7</v>
      </c>
      <c r="H114" s="35">
        <v>70999</v>
      </c>
      <c r="I114" s="35">
        <v>2071</v>
      </c>
      <c r="J114" s="28">
        <v>71345.5</v>
      </c>
      <c r="K114" s="35">
        <v>163013</v>
      </c>
      <c r="L114" s="59">
        <v>212</v>
      </c>
      <c r="M114" s="59">
        <v>65</v>
      </c>
      <c r="N114" s="34">
        <v>2.476</v>
      </c>
      <c r="O114" s="34">
        <f>+N114/2.635</f>
        <v>0.9396584440227704</v>
      </c>
      <c r="P114" s="55">
        <v>96.2</v>
      </c>
      <c r="Q114" s="50">
        <v>480</v>
      </c>
      <c r="R114" s="97">
        <v>8.79</v>
      </c>
      <c r="S114" s="56"/>
      <c r="T114" s="132"/>
    </row>
    <row r="115" spans="2:20" s="41" customFormat="1" ht="15.75">
      <c r="B115" s="58">
        <v>39052</v>
      </c>
      <c r="C115" s="28">
        <v>947211</v>
      </c>
      <c r="D115" s="28">
        <v>1123182</v>
      </c>
      <c r="E115" s="35">
        <f>1123*0.213</f>
        <v>239.19899999999998</v>
      </c>
      <c r="F115" s="32">
        <v>21.3</v>
      </c>
      <c r="G115" s="32">
        <v>48</v>
      </c>
      <c r="H115" s="35">
        <v>36919</v>
      </c>
      <c r="I115" s="35">
        <v>2263</v>
      </c>
      <c r="J115" s="28">
        <v>37322</v>
      </c>
      <c r="K115" s="33">
        <v>94264</v>
      </c>
      <c r="L115" s="59">
        <f>+E115-35</f>
        <v>204.19899999999998</v>
      </c>
      <c r="M115" s="35">
        <v>63</v>
      </c>
      <c r="N115" s="34">
        <v>2.38</v>
      </c>
      <c r="O115" s="34">
        <f>+N115/(3.06*0.85)</f>
        <v>0.9150326797385621</v>
      </c>
      <c r="P115" s="55">
        <v>92</v>
      </c>
      <c r="Q115" s="55">
        <v>480</v>
      </c>
      <c r="R115" s="97">
        <v>9.17</v>
      </c>
      <c r="S115" s="56"/>
      <c r="T115" s="132"/>
    </row>
    <row r="116" spans="2:20" s="41" customFormat="1" ht="15.75">
      <c r="B116" s="98"/>
      <c r="C116" s="96"/>
      <c r="D116" s="96"/>
      <c r="E116" s="96"/>
      <c r="F116" s="96"/>
      <c r="G116" s="99"/>
      <c r="H116" s="100"/>
      <c r="I116" s="100"/>
      <c r="J116" s="100"/>
      <c r="K116" s="101"/>
      <c r="L116" s="102"/>
      <c r="M116" s="100"/>
      <c r="N116" s="103"/>
      <c r="O116" s="103"/>
      <c r="P116" s="104"/>
      <c r="Q116" s="105"/>
      <c r="R116" s="106"/>
      <c r="S116" s="56"/>
      <c r="T116" s="132"/>
    </row>
    <row r="117" spans="2:20" s="41" customFormat="1" ht="15.75">
      <c r="B117" s="58">
        <v>39083</v>
      </c>
      <c r="C117" s="28">
        <v>1037915</v>
      </c>
      <c r="D117" s="28">
        <v>1225980</v>
      </c>
      <c r="E117" s="35">
        <v>268.529</v>
      </c>
      <c r="F117" s="32">
        <v>25.473026889222623</v>
      </c>
      <c r="G117" s="32">
        <v>46.20084870259808</v>
      </c>
      <c r="H117" s="28">
        <v>33993</v>
      </c>
      <c r="I117" s="35">
        <v>2462</v>
      </c>
      <c r="J117" s="28">
        <v>34302</v>
      </c>
      <c r="K117" s="28">
        <v>98493</v>
      </c>
      <c r="L117" s="59">
        <v>234</v>
      </c>
      <c r="M117" s="35">
        <v>70.86</v>
      </c>
      <c r="N117" s="34">
        <v>2.33</v>
      </c>
      <c r="O117" s="107">
        <v>0.89</v>
      </c>
      <c r="P117" s="55">
        <v>89.8</v>
      </c>
      <c r="Q117" s="50">
        <v>486</v>
      </c>
      <c r="R117" s="97">
        <v>9.25</v>
      </c>
      <c r="S117" s="56"/>
      <c r="T117" s="132"/>
    </row>
    <row r="118" spans="2:20" s="41" customFormat="1" ht="15.75">
      <c r="B118" s="58">
        <v>39114</v>
      </c>
      <c r="C118" s="28">
        <v>915552</v>
      </c>
      <c r="D118" s="28">
        <v>1087308</v>
      </c>
      <c r="E118" s="35">
        <v>237</v>
      </c>
      <c r="F118" s="32">
        <v>25.224188388276232</v>
      </c>
      <c r="G118" s="32">
        <v>45.46665831220145</v>
      </c>
      <c r="H118" s="28">
        <v>29604</v>
      </c>
      <c r="I118" s="35">
        <v>2359</v>
      </c>
      <c r="J118" s="28">
        <v>29884.5</v>
      </c>
      <c r="K118" s="28">
        <v>79865</v>
      </c>
      <c r="L118" s="59">
        <v>208</v>
      </c>
      <c r="M118" s="35">
        <v>69.82</v>
      </c>
      <c r="N118" s="34">
        <v>2.347</v>
      </c>
      <c r="O118" s="107">
        <v>0.89</v>
      </c>
      <c r="P118" s="55">
        <v>89.7</v>
      </c>
      <c r="Q118" s="50">
        <v>491</v>
      </c>
      <c r="R118" s="97">
        <v>9.25</v>
      </c>
      <c r="S118" s="39"/>
      <c r="T118" s="132"/>
    </row>
    <row r="119" spans="2:20" s="41" customFormat="1" ht="15.75">
      <c r="B119" s="58">
        <v>39142</v>
      </c>
      <c r="C119" s="28">
        <v>991644</v>
      </c>
      <c r="D119" s="28">
        <v>1178526</v>
      </c>
      <c r="E119" s="28">
        <v>256.598</v>
      </c>
      <c r="F119" s="32">
        <v>26.07796868157332</v>
      </c>
      <c r="G119" s="32">
        <v>44.381603506847455</v>
      </c>
      <c r="H119" s="28">
        <v>35587</v>
      </c>
      <c r="I119" s="35">
        <v>2471</v>
      </c>
      <c r="J119" s="28">
        <v>35893</v>
      </c>
      <c r="K119" s="28">
        <v>99321</v>
      </c>
      <c r="L119" s="59">
        <v>221</v>
      </c>
      <c r="M119" s="59">
        <v>66.97</v>
      </c>
      <c r="N119" s="34">
        <v>2.361</v>
      </c>
      <c r="O119" s="107">
        <v>0.9</v>
      </c>
      <c r="P119" s="55">
        <v>89.8</v>
      </c>
      <c r="Q119" s="50">
        <v>485</v>
      </c>
      <c r="R119" s="97">
        <v>9.33</v>
      </c>
      <c r="S119" s="39"/>
      <c r="T119" s="132"/>
    </row>
    <row r="120" spans="2:20" s="41" customFormat="1" ht="15.75">
      <c r="B120" s="58">
        <v>39173</v>
      </c>
      <c r="C120" s="28">
        <v>918075</v>
      </c>
      <c r="D120" s="28">
        <v>1106022</v>
      </c>
      <c r="E120" s="28">
        <v>237</v>
      </c>
      <c r="F120" s="32">
        <v>23.893766796139744</v>
      </c>
      <c r="G120" s="32">
        <v>46.761722390863625</v>
      </c>
      <c r="H120" s="28">
        <v>38764</v>
      </c>
      <c r="I120" s="35">
        <v>2249</v>
      </c>
      <c r="J120" s="28">
        <v>38842</v>
      </c>
      <c r="K120" s="28">
        <v>94043</v>
      </c>
      <c r="L120" s="28">
        <v>198</v>
      </c>
      <c r="M120" s="28">
        <v>62.89</v>
      </c>
      <c r="N120" s="34">
        <v>2.407</v>
      </c>
      <c r="O120" s="107">
        <v>0.92</v>
      </c>
      <c r="P120" s="55">
        <v>90</v>
      </c>
      <c r="Q120" s="50">
        <v>474</v>
      </c>
      <c r="R120" s="97">
        <v>9.38</v>
      </c>
      <c r="S120" s="39"/>
      <c r="T120" s="132"/>
    </row>
    <row r="121" spans="2:20" s="108" customFormat="1" ht="14.25">
      <c r="B121" s="58">
        <v>39203</v>
      </c>
      <c r="C121" s="28">
        <v>1007632</v>
      </c>
      <c r="D121" s="28">
        <v>1213133</v>
      </c>
      <c r="E121" s="28">
        <v>261.3</v>
      </c>
      <c r="F121" s="32">
        <v>24.03956194432684</v>
      </c>
      <c r="G121" s="32">
        <v>47.34790101079594</v>
      </c>
      <c r="H121" s="28">
        <v>41642</v>
      </c>
      <c r="I121" s="35">
        <v>2302</v>
      </c>
      <c r="J121" s="28">
        <v>41967</v>
      </c>
      <c r="K121" s="28">
        <v>107524</v>
      </c>
      <c r="L121" s="28">
        <v>220</v>
      </c>
      <c r="M121" s="28">
        <v>65.81</v>
      </c>
      <c r="N121" s="34">
        <v>2.734</v>
      </c>
      <c r="O121" s="107">
        <f>+N121/2.625</f>
        <v>1.0415238095238095</v>
      </c>
      <c r="P121" s="55">
        <v>101</v>
      </c>
      <c r="Q121" s="50">
        <v>475</v>
      </c>
      <c r="R121" s="97">
        <v>9.32</v>
      </c>
      <c r="T121" s="134"/>
    </row>
    <row r="122" spans="2:20" s="41" customFormat="1" ht="15.75">
      <c r="B122" s="58">
        <v>39234</v>
      </c>
      <c r="C122" s="28">
        <v>1016824</v>
      </c>
      <c r="D122" s="28">
        <v>1204992</v>
      </c>
      <c r="E122" s="28">
        <v>262.7</v>
      </c>
      <c r="F122" s="32">
        <v>23.81885002093631</v>
      </c>
      <c r="G122" s="32">
        <v>48.18804978671653</v>
      </c>
      <c r="H122" s="28">
        <v>41671</v>
      </c>
      <c r="I122" s="35">
        <v>2327</v>
      </c>
      <c r="J122" s="28">
        <v>41899.5</v>
      </c>
      <c r="K122" s="28">
        <v>107601</v>
      </c>
      <c r="L122" s="28">
        <v>221</v>
      </c>
      <c r="M122" s="28">
        <v>67.67</v>
      </c>
      <c r="N122" s="34">
        <v>2.663</v>
      </c>
      <c r="O122" s="107">
        <v>1.01</v>
      </c>
      <c r="P122" s="55">
        <v>96</v>
      </c>
      <c r="Q122" s="50">
        <v>476</v>
      </c>
      <c r="R122" s="97">
        <v>9.39</v>
      </c>
      <c r="S122" s="39"/>
      <c r="T122" s="132"/>
    </row>
    <row r="123" spans="2:20" s="41" customFormat="1" ht="19.5" customHeight="1">
      <c r="B123" s="58">
        <v>39264</v>
      </c>
      <c r="C123" s="28">
        <v>1107915</v>
      </c>
      <c r="D123" s="28">
        <v>1306309</v>
      </c>
      <c r="E123" s="28">
        <v>282.657</v>
      </c>
      <c r="F123" s="32">
        <v>24.272135897860128</v>
      </c>
      <c r="G123" s="32">
        <v>48.04575698021249</v>
      </c>
      <c r="H123" s="28">
        <v>54555</v>
      </c>
      <c r="I123" s="35">
        <v>2097</v>
      </c>
      <c r="J123" s="28">
        <v>54900.5</v>
      </c>
      <c r="K123" s="28">
        <v>126189</v>
      </c>
      <c r="L123" s="28">
        <v>228</v>
      </c>
      <c r="M123" s="28">
        <v>68.78</v>
      </c>
      <c r="N123" s="34">
        <v>2.578</v>
      </c>
      <c r="O123" s="107">
        <f>+N123/2.66</f>
        <v>0.9691729323308269</v>
      </c>
      <c r="P123" s="55">
        <v>91</v>
      </c>
      <c r="Q123" s="50">
        <v>479</v>
      </c>
      <c r="R123" s="97">
        <v>9.34</v>
      </c>
      <c r="S123" s="39"/>
      <c r="T123" s="132"/>
    </row>
    <row r="124" spans="2:20" s="41" customFormat="1" ht="15.75">
      <c r="B124" s="58">
        <v>39295</v>
      </c>
      <c r="C124" s="28">
        <v>1184699</v>
      </c>
      <c r="D124" s="28">
        <v>1391909</v>
      </c>
      <c r="E124" s="28">
        <v>299.503</v>
      </c>
      <c r="F124" s="32">
        <v>24.030838506208173</v>
      </c>
      <c r="G124" s="32">
        <v>48.94455945094751</v>
      </c>
      <c r="H124" s="28">
        <v>64782</v>
      </c>
      <c r="I124" s="35">
        <v>2173</v>
      </c>
      <c r="J124" s="28">
        <v>65111</v>
      </c>
      <c r="K124" s="28">
        <v>154507</v>
      </c>
      <c r="L124" s="28">
        <v>235</v>
      </c>
      <c r="M124" s="28">
        <v>71.11</v>
      </c>
      <c r="N124" s="34">
        <v>2.652</v>
      </c>
      <c r="O124" s="107">
        <f>+N124/2.7</f>
        <v>0.9822222222222222</v>
      </c>
      <c r="P124" s="55">
        <v>93</v>
      </c>
      <c r="Q124" s="50">
        <v>477</v>
      </c>
      <c r="R124" s="97">
        <v>9.35</v>
      </c>
      <c r="S124" s="39"/>
      <c r="T124" s="132"/>
    </row>
    <row r="125" spans="2:20" s="41" customFormat="1" ht="15.75">
      <c r="B125" s="58">
        <v>39326</v>
      </c>
      <c r="C125" s="28">
        <v>986286</v>
      </c>
      <c r="D125" s="28">
        <v>1170859</v>
      </c>
      <c r="E125" s="28">
        <v>248.705</v>
      </c>
      <c r="F125" s="32">
        <v>23.920188356575174</v>
      </c>
      <c r="G125" s="32">
        <v>47.00774880306525</v>
      </c>
      <c r="H125" s="28">
        <v>50379</v>
      </c>
      <c r="I125" s="35">
        <v>2510</v>
      </c>
      <c r="J125" s="28">
        <v>50637</v>
      </c>
      <c r="K125" s="28">
        <v>143055</v>
      </c>
      <c r="L125" s="28">
        <v>198</v>
      </c>
      <c r="M125" s="28">
        <v>63.06</v>
      </c>
      <c r="N125" s="34">
        <v>2.735</v>
      </c>
      <c r="O125" s="107">
        <f>+N125/2.67</f>
        <v>1.0243445692883895</v>
      </c>
      <c r="P125" s="55">
        <v>96</v>
      </c>
      <c r="Q125" s="50">
        <v>473</v>
      </c>
      <c r="R125" s="97">
        <v>9.31</v>
      </c>
      <c r="S125" s="39"/>
      <c r="T125" s="114"/>
    </row>
    <row r="126" spans="2:20" s="41" customFormat="1" ht="15.75">
      <c r="B126" s="58">
        <v>39356</v>
      </c>
      <c r="C126" s="28">
        <v>1171694</v>
      </c>
      <c r="D126" s="28">
        <v>1387591</v>
      </c>
      <c r="E126" s="28">
        <v>290.6</v>
      </c>
      <c r="F126" s="32">
        <v>21.346535603112272</v>
      </c>
      <c r="G126" s="32">
        <v>48.133812129966834</v>
      </c>
      <c r="H126" s="28">
        <v>51682</v>
      </c>
      <c r="I126" s="35">
        <f>125465/H126*1000</f>
        <v>2427.6343794744785</v>
      </c>
      <c r="J126" s="28">
        <v>51945</v>
      </c>
      <c r="K126" s="28">
        <v>148975</v>
      </c>
      <c r="L126" s="28">
        <v>239</v>
      </c>
      <c r="M126" s="28">
        <v>72.9</v>
      </c>
      <c r="N126" s="34">
        <v>2.864</v>
      </c>
      <c r="O126" s="107">
        <v>1.07</v>
      </c>
      <c r="P126" s="55">
        <v>99</v>
      </c>
      <c r="Q126" s="50">
        <v>479</v>
      </c>
      <c r="R126" s="97">
        <v>9.33</v>
      </c>
      <c r="S126" s="39"/>
      <c r="T126" s="114"/>
    </row>
    <row r="127" spans="2:20" s="41" customFormat="1" ht="15.75">
      <c r="B127" s="58">
        <v>39387</v>
      </c>
      <c r="C127" s="28">
        <v>1203966</v>
      </c>
      <c r="D127" s="28">
        <v>1419876</v>
      </c>
      <c r="E127" s="28">
        <v>303</v>
      </c>
      <c r="F127" s="32">
        <v>22.53318044028656</v>
      </c>
      <c r="G127" s="32">
        <v>48.73040111717889</v>
      </c>
      <c r="H127" s="28">
        <v>57144</v>
      </c>
      <c r="I127" s="35">
        <f>146957/H127*1000</f>
        <v>2571.696066078678</v>
      </c>
      <c r="J127" s="28">
        <v>57336</v>
      </c>
      <c r="K127" s="28">
        <v>168120</v>
      </c>
      <c r="L127" s="28">
        <v>246</v>
      </c>
      <c r="M127" s="28">
        <v>74.55</v>
      </c>
      <c r="N127" s="34">
        <v>2.969</v>
      </c>
      <c r="O127" s="107">
        <v>1.1</v>
      </c>
      <c r="P127" s="55">
        <v>102</v>
      </c>
      <c r="Q127" s="50">
        <v>481</v>
      </c>
      <c r="R127" s="97">
        <v>9.54</v>
      </c>
      <c r="S127" s="39"/>
      <c r="T127" s="114"/>
    </row>
    <row r="128" spans="2:20" s="41" customFormat="1" ht="15.75">
      <c r="B128" s="58">
        <v>39417</v>
      </c>
      <c r="C128" s="28">
        <v>1091186</v>
      </c>
      <c r="D128" s="28">
        <v>1280662</v>
      </c>
      <c r="E128" s="28">
        <v>269</v>
      </c>
      <c r="F128" s="32">
        <v>20.305105720869857</v>
      </c>
      <c r="G128" s="32">
        <v>49.6653397668189</v>
      </c>
      <c r="H128" s="28">
        <v>39213</v>
      </c>
      <c r="I128" s="35">
        <f>104992/H128*1000</f>
        <v>2677.4794073394028</v>
      </c>
      <c r="J128" s="28">
        <v>39488</v>
      </c>
      <c r="K128" s="28">
        <v>121911</v>
      </c>
      <c r="L128" s="28">
        <v>230</v>
      </c>
      <c r="M128" s="28">
        <v>70.23</v>
      </c>
      <c r="N128" s="34">
        <v>2.929</v>
      </c>
      <c r="O128" s="107">
        <v>1.09</v>
      </c>
      <c r="P128" s="55">
        <v>100</v>
      </c>
      <c r="Q128" s="50">
        <v>485</v>
      </c>
      <c r="R128" s="97">
        <v>9.68</v>
      </c>
      <c r="S128" s="39"/>
      <c r="T128" s="114"/>
    </row>
    <row r="129" spans="2:20" s="41" customFormat="1" ht="15.75">
      <c r="B129" s="109"/>
      <c r="C129" s="110"/>
      <c r="D129" s="111"/>
      <c r="E129" s="28"/>
      <c r="F129" s="99"/>
      <c r="G129" s="99"/>
      <c r="H129" s="28"/>
      <c r="I129" s="35"/>
      <c r="J129" s="28"/>
      <c r="K129" s="110"/>
      <c r="L129" s="110"/>
      <c r="M129" s="112"/>
      <c r="N129" s="103"/>
      <c r="O129" s="113"/>
      <c r="P129" s="105"/>
      <c r="Q129" s="105"/>
      <c r="R129" s="106"/>
      <c r="S129" s="39"/>
      <c r="T129" s="114"/>
    </row>
    <row r="130" spans="2:20" s="41" customFormat="1" ht="15.75">
      <c r="B130" s="58">
        <v>39448</v>
      </c>
      <c r="C130" s="28">
        <v>1123820</v>
      </c>
      <c r="D130" s="28">
        <v>1347395</v>
      </c>
      <c r="E130" s="28">
        <v>285.573</v>
      </c>
      <c r="F130" s="32">
        <v>22.638356414633773</v>
      </c>
      <c r="G130" s="32">
        <v>47.66308903658464</v>
      </c>
      <c r="H130" s="28">
        <v>49771</v>
      </c>
      <c r="I130" s="35">
        <v>2735.100988777238</v>
      </c>
      <c r="J130" s="28">
        <v>50127.5</v>
      </c>
      <c r="K130" s="28">
        <v>153763</v>
      </c>
      <c r="L130" s="28">
        <v>235.80379999999997</v>
      </c>
      <c r="M130" s="28">
        <v>70.60105922576196</v>
      </c>
      <c r="N130" s="34">
        <v>2.927</v>
      </c>
      <c r="O130" s="107">
        <v>1.1</v>
      </c>
      <c r="P130" s="55">
        <v>98.0492525808783</v>
      </c>
      <c r="Q130" s="50">
        <v>488</v>
      </c>
      <c r="R130" s="37">
        <v>10.028333333333332</v>
      </c>
      <c r="S130" s="39"/>
      <c r="T130" s="114"/>
    </row>
    <row r="131" spans="2:20" s="41" customFormat="1" ht="15.75">
      <c r="B131" s="58">
        <v>39479</v>
      </c>
      <c r="C131" s="28">
        <v>1042929</v>
      </c>
      <c r="D131" s="28">
        <v>1243112</v>
      </c>
      <c r="E131" s="28">
        <v>261.864</v>
      </c>
      <c r="F131" s="32">
        <v>19.878550175421232</v>
      </c>
      <c r="G131" s="32">
        <v>51.02856654177679</v>
      </c>
      <c r="H131" s="28">
        <v>41826</v>
      </c>
      <c r="I131" s="35">
        <v>3024</v>
      </c>
      <c r="J131" s="28">
        <v>42057.5</v>
      </c>
      <c r="K131" s="28">
        <v>144787</v>
      </c>
      <c r="L131" s="28">
        <v>219.86219999999994</v>
      </c>
      <c r="M131" s="28">
        <v>70.492851256085</v>
      </c>
      <c r="N131" s="34">
        <v>3.049</v>
      </c>
      <c r="O131" s="107">
        <f>+N131/2.7</f>
        <v>1.1292592592592592</v>
      </c>
      <c r="P131" s="55">
        <v>101.19759463104785</v>
      </c>
      <c r="Q131" s="50">
        <v>485</v>
      </c>
      <c r="R131" s="37">
        <v>10.371666666666666</v>
      </c>
      <c r="S131" s="39"/>
      <c r="T131" s="114"/>
    </row>
    <row r="132" spans="2:20" s="41" customFormat="1" ht="15.75">
      <c r="B132" s="58">
        <v>39508</v>
      </c>
      <c r="C132" s="28">
        <v>582198</v>
      </c>
      <c r="D132" s="28">
        <v>722024</v>
      </c>
      <c r="E132" s="28">
        <v>152.362</v>
      </c>
      <c r="F132" s="32">
        <v>21.880362239249056</v>
      </c>
      <c r="G132" s="32">
        <v>48.44120086712253</v>
      </c>
      <c r="H132" s="28">
        <v>35393</v>
      </c>
      <c r="I132" s="35">
        <v>3321</v>
      </c>
      <c r="J132" s="28">
        <v>35629.5</v>
      </c>
      <c r="K132" s="28">
        <v>133298</v>
      </c>
      <c r="L132" s="28">
        <v>116.86510000000001</v>
      </c>
      <c r="M132" s="28">
        <v>35.060344814890236</v>
      </c>
      <c r="N132" s="34">
        <v>3.126</v>
      </c>
      <c r="O132" s="107">
        <v>1.169</v>
      </c>
      <c r="P132" s="55">
        <v>102.60648777185179</v>
      </c>
      <c r="Q132" s="50">
        <v>478</v>
      </c>
      <c r="R132" s="37">
        <v>11.1</v>
      </c>
      <c r="S132" s="39"/>
      <c r="T132" s="114"/>
    </row>
    <row r="133" spans="2:20" s="41" customFormat="1" ht="15.75">
      <c r="B133" s="58">
        <v>39539</v>
      </c>
      <c r="C133" s="28">
        <v>1145873</v>
      </c>
      <c r="D133" s="28">
        <v>1379156</v>
      </c>
      <c r="E133" s="28">
        <v>294.889</v>
      </c>
      <c r="F133" s="32">
        <v>21.131461310280613</v>
      </c>
      <c r="G133" s="32">
        <v>48.9</v>
      </c>
      <c r="H133" s="28">
        <v>18464</v>
      </c>
      <c r="I133" s="28">
        <v>2878</v>
      </c>
      <c r="J133" s="28">
        <v>18575.5</v>
      </c>
      <c r="K133" s="28">
        <v>61123</v>
      </c>
      <c r="L133" s="28">
        <v>276.00079999999997</v>
      </c>
      <c r="M133" s="28">
        <v>85.42063731003977</v>
      </c>
      <c r="N133" s="34">
        <v>3.068</v>
      </c>
      <c r="O133" s="107">
        <v>1.14</v>
      </c>
      <c r="P133" s="55">
        <v>99.47579512836133</v>
      </c>
      <c r="Q133" s="50">
        <v>485</v>
      </c>
      <c r="R133" s="37">
        <v>11.578333333333333</v>
      </c>
      <c r="S133" s="39"/>
      <c r="T133" s="114"/>
    </row>
    <row r="134" spans="2:20" s="41" customFormat="1" ht="15.75">
      <c r="B134" s="58">
        <v>39569</v>
      </c>
      <c r="C134" s="28">
        <v>889640</v>
      </c>
      <c r="D134" s="28">
        <v>1103694</v>
      </c>
      <c r="E134" s="28">
        <v>231.998</v>
      </c>
      <c r="F134" s="32">
        <v>19.002982622720378</v>
      </c>
      <c r="G134" s="32">
        <v>50.839971692464026</v>
      </c>
      <c r="H134" s="28">
        <v>10298</v>
      </c>
      <c r="I134" s="28">
        <v>5603</v>
      </c>
      <c r="J134" s="28">
        <v>10344.5</v>
      </c>
      <c r="K134" s="28">
        <v>67928</v>
      </c>
      <c r="L134" s="28">
        <v>222</v>
      </c>
      <c r="M134" s="28">
        <v>66.29192218967799</v>
      </c>
      <c r="N134" s="34">
        <v>3.065</v>
      </c>
      <c r="O134" s="107">
        <v>1.14</v>
      </c>
      <c r="P134" s="55">
        <v>98.32810908638454</v>
      </c>
      <c r="Q134" s="50">
        <v>477</v>
      </c>
      <c r="R134" s="37">
        <v>14.341666666666667</v>
      </c>
      <c r="S134" s="39"/>
      <c r="T134" s="114"/>
    </row>
    <row r="135" spans="2:20" s="41" customFormat="1" ht="15.75">
      <c r="B135" s="58">
        <v>39600</v>
      </c>
      <c r="C135" s="28">
        <v>817540</v>
      </c>
      <c r="D135" s="28">
        <v>1023830</v>
      </c>
      <c r="E135" s="28">
        <v>218.202</v>
      </c>
      <c r="F135" s="32">
        <v>21.90510689562797</v>
      </c>
      <c r="G135" s="32">
        <v>49.5</v>
      </c>
      <c r="H135" s="115">
        <v>18942</v>
      </c>
      <c r="I135" s="28">
        <v>4931</v>
      </c>
      <c r="J135" s="28">
        <v>19141</v>
      </c>
      <c r="K135" s="28">
        <v>98552</v>
      </c>
      <c r="L135" s="28">
        <v>198.9735</v>
      </c>
      <c r="M135" s="28">
        <v>61.44430060796163</v>
      </c>
      <c r="N135" s="34">
        <v>3.103</v>
      </c>
      <c r="O135" s="107">
        <v>1.19</v>
      </c>
      <c r="P135" s="55">
        <v>98.36994244466464</v>
      </c>
      <c r="Q135" s="50">
        <v>480</v>
      </c>
      <c r="R135" s="37">
        <v>14.216666666666667</v>
      </c>
      <c r="S135" s="39"/>
      <c r="T135" s="114"/>
    </row>
    <row r="136" spans="2:24" s="41" customFormat="1" ht="15.75">
      <c r="B136" s="58">
        <v>39630</v>
      </c>
      <c r="C136" s="28">
        <v>1158558</v>
      </c>
      <c r="D136" s="28">
        <v>1370085</v>
      </c>
      <c r="E136" s="28">
        <v>300.879</v>
      </c>
      <c r="F136" s="32">
        <v>24.012572409654485</v>
      </c>
      <c r="G136" s="32">
        <v>49.4</v>
      </c>
      <c r="H136" s="28">
        <v>35794</v>
      </c>
      <c r="I136" s="28">
        <v>3410</v>
      </c>
      <c r="J136" s="28">
        <v>36036.5</v>
      </c>
      <c r="K136" s="28">
        <v>135657</v>
      </c>
      <c r="L136" s="28">
        <v>264.55690000000004</v>
      </c>
      <c r="M136" s="28">
        <v>78.96571187325175</v>
      </c>
      <c r="N136" s="34">
        <v>3.044</v>
      </c>
      <c r="O136" s="107">
        <v>1.18</v>
      </c>
      <c r="P136" s="55">
        <v>95.77477721100068</v>
      </c>
      <c r="Q136" s="50">
        <v>480</v>
      </c>
      <c r="R136" s="37">
        <v>14.916666666666666</v>
      </c>
      <c r="S136" s="39"/>
      <c r="T136" s="114"/>
      <c r="X136" s="108"/>
    </row>
    <row r="137" spans="2:24" s="41" customFormat="1" ht="15.75">
      <c r="B137" s="58">
        <v>39661</v>
      </c>
      <c r="C137" s="28">
        <v>1098145</v>
      </c>
      <c r="D137" s="28">
        <v>1300395</v>
      </c>
      <c r="E137" s="28">
        <v>284.499</v>
      </c>
      <c r="F137" s="32">
        <v>24.149862332077518</v>
      </c>
      <c r="G137" s="32">
        <v>49</v>
      </c>
      <c r="H137" s="28">
        <v>45624</v>
      </c>
      <c r="I137" s="28">
        <v>4189</v>
      </c>
      <c r="J137" s="28">
        <v>45911.5</v>
      </c>
      <c r="K137" s="28">
        <v>207415</v>
      </c>
      <c r="L137" s="28">
        <v>238</v>
      </c>
      <c r="M137" s="28">
        <v>71.12431951133097</v>
      </c>
      <c r="N137" s="34">
        <v>3.057</v>
      </c>
      <c r="O137" s="107">
        <v>1.18</v>
      </c>
      <c r="P137" s="55">
        <v>95.38837695957601</v>
      </c>
      <c r="Q137" s="50">
        <v>484</v>
      </c>
      <c r="R137" s="37">
        <v>14.765</v>
      </c>
      <c r="S137" s="122"/>
      <c r="T137" s="114"/>
      <c r="X137" s="108"/>
    </row>
    <row r="138" spans="2:24" s="41" customFormat="1" ht="15.75">
      <c r="B138" s="58">
        <v>39692</v>
      </c>
      <c r="C138" s="28">
        <v>1174795</v>
      </c>
      <c r="D138" s="28">
        <v>1364139</v>
      </c>
      <c r="E138" s="28">
        <v>295.636</v>
      </c>
      <c r="F138" s="32">
        <v>23.626939830969</v>
      </c>
      <c r="G138" s="32">
        <v>47.4</v>
      </c>
      <c r="H138" s="28">
        <v>54528</v>
      </c>
      <c r="I138" s="28">
        <v>3701</v>
      </c>
      <c r="J138" s="28">
        <v>55329.5</v>
      </c>
      <c r="K138" s="28">
        <v>222092</v>
      </c>
      <c r="L138" s="28">
        <v>241</v>
      </c>
      <c r="M138" s="28">
        <v>73.51339267585472</v>
      </c>
      <c r="N138" s="34">
        <v>3.029</v>
      </c>
      <c r="O138" s="107">
        <v>1.15</v>
      </c>
      <c r="P138" s="55">
        <v>93.99028426343557</v>
      </c>
      <c r="Q138" s="50">
        <v>480</v>
      </c>
      <c r="R138" s="37">
        <v>14.69</v>
      </c>
      <c r="S138" s="122"/>
      <c r="T138" s="114"/>
      <c r="X138" s="108"/>
    </row>
    <row r="139" spans="2:24" s="41" customFormat="1" ht="15.75">
      <c r="B139" s="58">
        <v>39722</v>
      </c>
      <c r="C139" s="28">
        <v>1114031</v>
      </c>
      <c r="D139" s="28">
        <v>1331926</v>
      </c>
      <c r="E139" s="28">
        <v>281.19</v>
      </c>
      <c r="F139" s="32">
        <v>19.984454391565958</v>
      </c>
      <c r="G139" s="32">
        <v>47.61052592747069</v>
      </c>
      <c r="H139" s="28">
        <v>49183</v>
      </c>
      <c r="I139" s="28">
        <v>3643</v>
      </c>
      <c r="J139" s="28">
        <v>50060</v>
      </c>
      <c r="K139" s="28">
        <v>206224</v>
      </c>
      <c r="L139" s="28">
        <v>232</v>
      </c>
      <c r="M139" s="28">
        <v>69</v>
      </c>
      <c r="N139" s="34">
        <v>2.977</v>
      </c>
      <c r="O139" s="107">
        <v>1.08</v>
      </c>
      <c r="P139" s="55">
        <v>92.73884840877973</v>
      </c>
      <c r="Q139" s="50">
        <v>481</v>
      </c>
      <c r="R139" s="37">
        <v>13.656666666666666</v>
      </c>
      <c r="S139" s="121"/>
      <c r="T139" s="114"/>
      <c r="X139" s="108"/>
    </row>
    <row r="140" spans="1:24" s="41" customFormat="1" ht="15.75">
      <c r="A140" s="123"/>
      <c r="B140" s="58">
        <v>39753</v>
      </c>
      <c r="C140" s="28">
        <v>994157</v>
      </c>
      <c r="D140" s="28">
        <v>1199993</v>
      </c>
      <c r="E140" s="28">
        <v>245.139</v>
      </c>
      <c r="F140" s="32">
        <v>21.317344097256978</v>
      </c>
      <c r="G140" s="32">
        <v>46.42153895394549</v>
      </c>
      <c r="H140" s="28">
        <v>38115</v>
      </c>
      <c r="I140" s="28">
        <v>3149</v>
      </c>
      <c r="J140" s="28">
        <v>39389</v>
      </c>
      <c r="K140" s="28">
        <v>142891</v>
      </c>
      <c r="L140" s="28">
        <v>206</v>
      </c>
      <c r="M140" s="28">
        <v>63.21</v>
      </c>
      <c r="N140" s="34">
        <v>2.603</v>
      </c>
      <c r="O140" s="107">
        <v>0.92</v>
      </c>
      <c r="P140" s="55">
        <v>81</v>
      </c>
      <c r="Q140" s="50">
        <v>485</v>
      </c>
      <c r="R140" s="37">
        <v>13.11166666666667</v>
      </c>
      <c r="S140" s="121"/>
      <c r="T140" s="114"/>
      <c r="X140" s="108"/>
    </row>
    <row r="141" spans="1:24" s="41" customFormat="1" ht="15.75">
      <c r="A141" s="101"/>
      <c r="B141" s="58">
        <v>39783</v>
      </c>
      <c r="C141" s="28">
        <v>1068134</v>
      </c>
      <c r="D141" s="28">
        <v>1283522</v>
      </c>
      <c r="E141" s="28">
        <v>260</v>
      </c>
      <c r="F141" s="32">
        <v>18.88781114075566</v>
      </c>
      <c r="G141" s="32">
        <v>46.91994918862944</v>
      </c>
      <c r="H141" s="28">
        <v>31423</v>
      </c>
      <c r="I141" s="28">
        <v>2792</v>
      </c>
      <c r="J141" s="28">
        <v>32128.5</v>
      </c>
      <c r="K141" s="28">
        <v>103983</v>
      </c>
      <c r="L141" s="28">
        <v>229</v>
      </c>
      <c r="M141" s="28">
        <v>68.08</v>
      </c>
      <c r="N141" s="34">
        <v>2.556</v>
      </c>
      <c r="O141" s="107">
        <v>0.87</v>
      </c>
      <c r="P141" s="55">
        <v>80</v>
      </c>
      <c r="Q141" s="50">
        <v>485</v>
      </c>
      <c r="R141" s="37">
        <v>12.636666666666668</v>
      </c>
      <c r="S141" s="121"/>
      <c r="T141" s="114"/>
      <c r="X141" s="108"/>
    </row>
    <row r="142" spans="1:24" s="41" customFormat="1" ht="15.75">
      <c r="A142" s="101"/>
      <c r="B142" s="58"/>
      <c r="C142" s="111"/>
      <c r="D142" s="111"/>
      <c r="E142" s="116"/>
      <c r="F142" s="117"/>
      <c r="G142" s="32"/>
      <c r="H142" s="110"/>
      <c r="I142" s="111"/>
      <c r="J142" s="110"/>
      <c r="K142" s="116"/>
      <c r="L142" s="118"/>
      <c r="M142" s="119"/>
      <c r="N142" s="120"/>
      <c r="O142" s="121"/>
      <c r="P142" s="122"/>
      <c r="Q142" s="82"/>
      <c r="R142" s="37"/>
      <c r="S142" s="121"/>
      <c r="T142" s="114"/>
      <c r="X142" s="108"/>
    </row>
    <row r="143" spans="1:24" s="41" customFormat="1" ht="15.75">
      <c r="A143" s="101"/>
      <c r="B143" s="58">
        <v>39814</v>
      </c>
      <c r="C143" s="28">
        <v>1096539</v>
      </c>
      <c r="D143" s="28">
        <v>1311459</v>
      </c>
      <c r="E143" s="28">
        <v>278.6889317301182</v>
      </c>
      <c r="F143" s="32">
        <v>20.745097860515358</v>
      </c>
      <c r="G143" s="32">
        <v>47.151062035287126</v>
      </c>
      <c r="H143" s="28">
        <v>41466</v>
      </c>
      <c r="I143" s="28">
        <v>2554</v>
      </c>
      <c r="J143" s="28">
        <v>41628.5</v>
      </c>
      <c r="K143" s="172">
        <v>121075</v>
      </c>
      <c r="L143" s="28">
        <v>237</v>
      </c>
      <c r="M143" s="173">
        <v>70.21</v>
      </c>
      <c r="N143" s="174">
        <v>2.626</v>
      </c>
      <c r="O143" s="107">
        <v>0.89</v>
      </c>
      <c r="P143" s="55">
        <v>82</v>
      </c>
      <c r="Q143" s="50">
        <v>487</v>
      </c>
      <c r="R143" s="37">
        <v>13.543333333333335</v>
      </c>
      <c r="S143" s="121"/>
      <c r="T143" s="114"/>
      <c r="X143" s="108"/>
    </row>
    <row r="144" spans="1:24" s="41" customFormat="1" ht="15.75">
      <c r="A144" s="101"/>
      <c r="B144" s="58">
        <v>39845</v>
      </c>
      <c r="C144" s="28">
        <v>1008351</v>
      </c>
      <c r="D144" s="28">
        <v>1213668</v>
      </c>
      <c r="E144" s="28">
        <v>251.68980056100395</v>
      </c>
      <c r="F144" s="32">
        <v>18.806698925015347</v>
      </c>
      <c r="G144" s="32">
        <v>50.32182075109485</v>
      </c>
      <c r="H144" s="28">
        <v>43760</v>
      </c>
      <c r="I144" s="28">
        <v>2533</v>
      </c>
      <c r="J144" s="28">
        <v>43897.5</v>
      </c>
      <c r="K144" s="172">
        <v>129316</v>
      </c>
      <c r="L144" s="28">
        <v>209</v>
      </c>
      <c r="M144" s="173">
        <v>68.61</v>
      </c>
      <c r="N144" s="174">
        <v>2.961</v>
      </c>
      <c r="O144" s="107">
        <f>+N144/2.9975</f>
        <v>0.9878231859883235</v>
      </c>
      <c r="P144" s="33">
        <v>92</v>
      </c>
      <c r="Q144" s="50">
        <v>490</v>
      </c>
      <c r="R144" s="37">
        <v>13.545</v>
      </c>
      <c r="S144" s="121"/>
      <c r="T144" s="114"/>
      <c r="U144" s="126"/>
      <c r="X144" s="108"/>
    </row>
    <row r="145" spans="1:24" s="41" customFormat="1" ht="15.75">
      <c r="A145" s="101"/>
      <c r="B145" s="58">
        <v>39873</v>
      </c>
      <c r="C145" s="28">
        <v>1044926</v>
      </c>
      <c r="D145" s="28">
        <v>1259783</v>
      </c>
      <c r="E145" s="28">
        <v>261.5369693734201</v>
      </c>
      <c r="F145" s="32">
        <v>18.99518400528088</v>
      </c>
      <c r="G145" s="32">
        <v>49.16278747935825</v>
      </c>
      <c r="H145" s="28">
        <v>51070</v>
      </c>
      <c r="I145" s="28">
        <v>2613</v>
      </c>
      <c r="J145" s="28">
        <v>51261</v>
      </c>
      <c r="K145" s="28">
        <v>151909</v>
      </c>
      <c r="L145" s="28">
        <v>209</v>
      </c>
      <c r="M145" s="173">
        <v>61.83</v>
      </c>
      <c r="N145" s="174">
        <v>3.481</v>
      </c>
      <c r="O145" s="107">
        <f>+N145/3.12</f>
        <v>1.115705128205128</v>
      </c>
      <c r="P145" s="28">
        <v>107</v>
      </c>
      <c r="Q145" s="28">
        <v>491</v>
      </c>
      <c r="R145" s="37">
        <v>14.456666666666669</v>
      </c>
      <c r="S145" s="121"/>
      <c r="T145" s="114"/>
      <c r="U145" s="126"/>
      <c r="X145" s="108"/>
    </row>
    <row r="146" spans="1:24" s="41" customFormat="1" ht="15.75">
      <c r="A146" s="101"/>
      <c r="B146" s="58">
        <v>39904</v>
      </c>
      <c r="C146" s="28">
        <v>1126012</v>
      </c>
      <c r="D146" s="28">
        <v>1342224.25</v>
      </c>
      <c r="E146" s="28">
        <v>284.29114784602046</v>
      </c>
      <c r="F146" s="32">
        <v>20.856874016266804</v>
      </c>
      <c r="G146" s="32">
        <v>48.992303347688924</v>
      </c>
      <c r="H146" s="115">
        <v>46232</v>
      </c>
      <c r="I146" s="115">
        <v>2657</v>
      </c>
      <c r="J146" s="115">
        <v>46418</v>
      </c>
      <c r="K146" s="115">
        <v>138203</v>
      </c>
      <c r="L146" s="115">
        <v>243</v>
      </c>
      <c r="M146" s="175">
        <v>74.26</v>
      </c>
      <c r="N146" s="176">
        <v>3.301</v>
      </c>
      <c r="O146" s="177">
        <v>1.05</v>
      </c>
      <c r="P146" s="115">
        <v>102</v>
      </c>
      <c r="Q146" s="115">
        <v>485</v>
      </c>
      <c r="R146" s="37">
        <v>15.276666666666669</v>
      </c>
      <c r="S146" s="121"/>
      <c r="T146" s="114"/>
      <c r="U146" s="126"/>
      <c r="X146" s="108"/>
    </row>
    <row r="147" spans="1:24" s="41" customFormat="1" ht="15.75">
      <c r="A147" s="101"/>
      <c r="B147" s="58">
        <v>39934</v>
      </c>
      <c r="C147" s="28">
        <v>1041107</v>
      </c>
      <c r="D147" s="28">
        <v>1241788</v>
      </c>
      <c r="E147" s="28">
        <v>260.8707225093709</v>
      </c>
      <c r="F147" s="32">
        <v>19.827725808614595</v>
      </c>
      <c r="G147" s="32">
        <v>50.1768455659775</v>
      </c>
      <c r="H147" s="28">
        <v>42447</v>
      </c>
      <c r="I147" s="28">
        <v>2838</v>
      </c>
      <c r="J147" s="28">
        <v>42700.5</v>
      </c>
      <c r="K147" s="28">
        <v>137980</v>
      </c>
      <c r="L147" s="28">
        <v>223</v>
      </c>
      <c r="M147" s="173">
        <v>66.07</v>
      </c>
      <c r="N147" s="174">
        <v>2.972</v>
      </c>
      <c r="O147" s="107">
        <v>0.94</v>
      </c>
      <c r="P147" s="28">
        <v>90</v>
      </c>
      <c r="Q147" s="28">
        <v>479</v>
      </c>
      <c r="R147" s="37">
        <v>15.381666666666666</v>
      </c>
      <c r="S147" s="121"/>
      <c r="T147" s="114"/>
      <c r="U147" s="126"/>
      <c r="X147" s="108"/>
    </row>
    <row r="148" spans="1:24" s="41" customFormat="1" ht="15.75">
      <c r="A148" s="101"/>
      <c r="B148" s="58">
        <v>39965</v>
      </c>
      <c r="C148" s="28">
        <v>1210139</v>
      </c>
      <c r="D148" s="28">
        <v>1427990</v>
      </c>
      <c r="E148" s="28">
        <v>300.77831568826684</v>
      </c>
      <c r="F148" s="32">
        <v>19.257209305394763</v>
      </c>
      <c r="G148" s="32">
        <v>51.87836764799688</v>
      </c>
      <c r="H148" s="28">
        <v>59067</v>
      </c>
      <c r="I148" s="28">
        <v>2359</v>
      </c>
      <c r="J148" s="28">
        <v>59318.5</v>
      </c>
      <c r="K148" s="28">
        <v>156170</v>
      </c>
      <c r="L148" s="28">
        <v>245</v>
      </c>
      <c r="M148" s="173">
        <v>74.97</v>
      </c>
      <c r="N148" s="174">
        <v>3.035</v>
      </c>
      <c r="O148" s="107">
        <v>0.94</v>
      </c>
      <c r="P148" s="28">
        <v>92</v>
      </c>
      <c r="Q148" s="28">
        <v>484</v>
      </c>
      <c r="R148" s="37">
        <v>15.323333333333332</v>
      </c>
      <c r="S148" s="121"/>
      <c r="T148" s="114"/>
      <c r="U148" s="126"/>
      <c r="X148" s="108"/>
    </row>
    <row r="149" spans="1:24" s="41" customFormat="1" ht="15.75">
      <c r="A149" s="101"/>
      <c r="B149" s="58">
        <v>39995</v>
      </c>
      <c r="C149" s="28">
        <v>1234381</v>
      </c>
      <c r="D149" s="28">
        <v>1458327.25</v>
      </c>
      <c r="E149" s="28">
        <v>311.26013527414796</v>
      </c>
      <c r="F149" s="32">
        <v>20.46504712509247</v>
      </c>
      <c r="G149" s="32">
        <v>50.05100026328636</v>
      </c>
      <c r="H149" s="28">
        <v>70274</v>
      </c>
      <c r="I149" s="28">
        <v>2284</v>
      </c>
      <c r="J149" s="28">
        <v>70738.5</v>
      </c>
      <c r="K149" s="28">
        <v>178895</v>
      </c>
      <c r="L149" s="28">
        <v>243</v>
      </c>
      <c r="M149" s="173">
        <v>71.77</v>
      </c>
      <c r="N149" s="174">
        <v>3.173</v>
      </c>
      <c r="O149" s="107">
        <v>0.98</v>
      </c>
      <c r="P149" s="28">
        <v>94</v>
      </c>
      <c r="Q149" s="28">
        <v>479</v>
      </c>
      <c r="R149" s="37">
        <v>15.086666666666666</v>
      </c>
      <c r="S149" s="121"/>
      <c r="T149" s="114"/>
      <c r="U149" s="126"/>
      <c r="X149" s="108"/>
    </row>
    <row r="150" spans="1:24" s="41" customFormat="1" ht="15.75">
      <c r="A150" s="101"/>
      <c r="B150" s="58">
        <v>40026</v>
      </c>
      <c r="C150" s="28">
        <v>1174203</v>
      </c>
      <c r="D150" s="28">
        <v>1390996</v>
      </c>
      <c r="E150" s="28">
        <v>294.77603458187156</v>
      </c>
      <c r="F150" s="32">
        <v>20.40349348712054</v>
      </c>
      <c r="G150" s="32">
        <v>49.754107937346696</v>
      </c>
      <c r="H150" s="28">
        <v>62333</v>
      </c>
      <c r="I150" s="28">
        <v>2372</v>
      </c>
      <c r="J150" s="28">
        <v>62679.5</v>
      </c>
      <c r="K150" s="28">
        <v>165224</v>
      </c>
      <c r="L150" s="28">
        <v>236</v>
      </c>
      <c r="M150" s="173">
        <v>69.67</v>
      </c>
      <c r="N150" s="174">
        <v>3.198</v>
      </c>
      <c r="O150" s="107">
        <f>+N150/3.27</f>
        <v>0.9779816513761468</v>
      </c>
      <c r="P150" s="28">
        <v>94</v>
      </c>
      <c r="Q150" s="28">
        <v>478</v>
      </c>
      <c r="R150" s="37">
        <v>14.68</v>
      </c>
      <c r="S150" s="121"/>
      <c r="T150" s="114"/>
      <c r="U150" s="126"/>
      <c r="X150" s="108"/>
    </row>
    <row r="151" spans="1:24" s="41" customFormat="1" ht="15.75">
      <c r="A151" s="101"/>
      <c r="B151" s="58">
        <v>40057</v>
      </c>
      <c r="C151" s="28">
        <v>1114827</v>
      </c>
      <c r="D151" s="28">
        <v>1333403</v>
      </c>
      <c r="E151" s="28">
        <v>282.7875931045844</v>
      </c>
      <c r="F151" s="32">
        <v>20.83121421318483</v>
      </c>
      <c r="G151" s="32">
        <v>47.93886185546466</v>
      </c>
      <c r="H151" s="28">
        <v>72272</v>
      </c>
      <c r="I151" s="28">
        <v>2252</v>
      </c>
      <c r="J151" s="28">
        <v>72616</v>
      </c>
      <c r="K151" s="28">
        <v>181903</v>
      </c>
      <c r="L151" s="28">
        <v>208</v>
      </c>
      <c r="M151" s="173">
        <v>63.52</v>
      </c>
      <c r="N151" s="174">
        <v>3.254</v>
      </c>
      <c r="O151" s="107">
        <v>0.99</v>
      </c>
      <c r="P151" s="28">
        <v>95</v>
      </c>
      <c r="Q151" s="28">
        <v>480</v>
      </c>
      <c r="R151" s="37">
        <v>14.666666666666666</v>
      </c>
      <c r="S151" s="121"/>
      <c r="T151" s="114"/>
      <c r="U151" s="126"/>
      <c r="X151" s="108"/>
    </row>
    <row r="152" spans="1:24" s="41" customFormat="1" ht="15.75">
      <c r="A152" s="101"/>
      <c r="B152" s="58">
        <v>40087</v>
      </c>
      <c r="C152" s="28">
        <v>1211840</v>
      </c>
      <c r="D152" s="28">
        <v>1439888</v>
      </c>
      <c r="E152" s="28">
        <v>302.7067338033222</v>
      </c>
      <c r="F152" s="32">
        <v>19.187117095604656</v>
      </c>
      <c r="G152" s="32">
        <v>49.75452194027375</v>
      </c>
      <c r="H152" s="28">
        <v>64925</v>
      </c>
      <c r="I152" s="28">
        <v>2476</v>
      </c>
      <c r="J152" s="28">
        <v>65360.5</v>
      </c>
      <c r="K152" s="28">
        <v>179046</v>
      </c>
      <c r="L152" s="28">
        <v>237</v>
      </c>
      <c r="M152" s="173">
        <v>70</v>
      </c>
      <c r="N152" s="174">
        <v>3.329</v>
      </c>
      <c r="O152" s="107">
        <v>1.02</v>
      </c>
      <c r="P152" s="28">
        <v>96</v>
      </c>
      <c r="Q152" s="28">
        <v>478</v>
      </c>
      <c r="R152" s="37">
        <v>14.82</v>
      </c>
      <c r="S152" s="121"/>
      <c r="T152" s="114"/>
      <c r="U152" s="126"/>
      <c r="X152" s="108"/>
    </row>
    <row r="153" spans="2:24" ht="18" customHeight="1">
      <c r="B153" s="58">
        <v>40118</v>
      </c>
      <c r="C153" s="28">
        <v>1129328</v>
      </c>
      <c r="D153" s="28">
        <v>1324906</v>
      </c>
      <c r="E153" s="28">
        <v>276.8272143330831</v>
      </c>
      <c r="F153" s="32">
        <v>19.052525782961666</v>
      </c>
      <c r="G153" s="32">
        <v>48.3208745492551</v>
      </c>
      <c r="H153" s="28">
        <v>61141</v>
      </c>
      <c r="I153" s="28">
        <v>2581</v>
      </c>
      <c r="J153" s="28">
        <v>61393</v>
      </c>
      <c r="K153" s="28">
        <v>179837</v>
      </c>
      <c r="L153" s="28">
        <f>+E153-61</f>
        <v>215.82721433308308</v>
      </c>
      <c r="M153" s="173">
        <v>63</v>
      </c>
      <c r="N153" s="174">
        <v>3.496</v>
      </c>
      <c r="O153" s="107">
        <f>+N153/3.24</f>
        <v>1.0790123456790122</v>
      </c>
      <c r="P153" s="28">
        <v>100</v>
      </c>
      <c r="Q153" s="28">
        <v>487</v>
      </c>
      <c r="R153" s="37">
        <v>14.443333333333333</v>
      </c>
      <c r="X153" s="41"/>
    </row>
    <row r="154" spans="2:24" ht="18" customHeight="1">
      <c r="B154" s="58">
        <v>40148</v>
      </c>
      <c r="C154" s="28">
        <v>1094679</v>
      </c>
      <c r="D154" s="28">
        <v>1308594</v>
      </c>
      <c r="E154" s="28">
        <v>270.18129112993137</v>
      </c>
      <c r="F154" s="32">
        <v>17.558967429309018</v>
      </c>
      <c r="G154" s="32">
        <v>47.21503901373846</v>
      </c>
      <c r="H154" s="28">
        <v>46392</v>
      </c>
      <c r="I154" s="28">
        <v>2813</v>
      </c>
      <c r="J154" s="28">
        <v>46830</v>
      </c>
      <c r="K154" s="28">
        <v>146853</v>
      </c>
      <c r="L154" s="28">
        <v>206</v>
      </c>
      <c r="M154" s="173">
        <v>63</v>
      </c>
      <c r="N154" s="174">
        <v>3.78</v>
      </c>
      <c r="O154" s="107">
        <v>1.17</v>
      </c>
      <c r="P154" s="28">
        <v>107</v>
      </c>
      <c r="Q154" s="28">
        <v>490</v>
      </c>
      <c r="R154" s="37">
        <v>17.635</v>
      </c>
      <c r="X154" s="41"/>
    </row>
    <row r="155" spans="2:24" s="108" customFormat="1" ht="16.5" customHeight="1">
      <c r="B155" s="58"/>
      <c r="C155" s="162"/>
      <c r="D155" s="162"/>
      <c r="E155" s="162"/>
      <c r="F155" s="163"/>
      <c r="G155" s="145"/>
      <c r="H155" s="167"/>
      <c r="I155" s="167"/>
      <c r="J155" s="167"/>
      <c r="K155" s="167"/>
      <c r="L155" s="167"/>
      <c r="M155" s="168"/>
      <c r="N155" s="80"/>
      <c r="O155" s="169"/>
      <c r="P155" s="167"/>
      <c r="Q155" s="167"/>
      <c r="R155" s="170"/>
      <c r="T155" s="134"/>
      <c r="X155" s="62"/>
    </row>
    <row r="156" spans="2:20" s="108" customFormat="1" ht="15.75" customHeight="1">
      <c r="B156" s="58">
        <v>40179</v>
      </c>
      <c r="C156" s="162">
        <v>931110</v>
      </c>
      <c r="D156" s="162">
        <v>1133533</v>
      </c>
      <c r="E156" s="162">
        <v>238.74419242406674</v>
      </c>
      <c r="F156" s="145">
        <v>20.264070717242923</v>
      </c>
      <c r="G156" s="145">
        <v>45.71943919650594</v>
      </c>
      <c r="H156" s="162">
        <v>40777</v>
      </c>
      <c r="I156" s="162">
        <v>2911.301303248395</v>
      </c>
      <c r="J156" s="162">
        <v>41128</v>
      </c>
      <c r="K156" s="162">
        <v>140442</v>
      </c>
      <c r="L156" s="162">
        <v>198</v>
      </c>
      <c r="M156" s="164">
        <v>58</v>
      </c>
      <c r="N156" s="165">
        <v>3.933</v>
      </c>
      <c r="O156" s="166">
        <v>1.21</v>
      </c>
      <c r="P156" s="162">
        <v>110</v>
      </c>
      <c r="Q156" s="162">
        <v>485</v>
      </c>
      <c r="R156" s="146">
        <v>17.865</v>
      </c>
      <c r="T156" s="134"/>
    </row>
    <row r="157" spans="2:20" s="108" customFormat="1" ht="15.75" customHeight="1">
      <c r="B157" s="58">
        <v>40210</v>
      </c>
      <c r="C157" s="162">
        <v>791740</v>
      </c>
      <c r="D157" s="162">
        <v>967760</v>
      </c>
      <c r="E157" s="162">
        <v>205.4278820629268</v>
      </c>
      <c r="F157" s="145">
        <v>21.083738379333983</v>
      </c>
      <c r="G157" s="145">
        <v>46.13015037213856</v>
      </c>
      <c r="H157" s="162">
        <v>35067</v>
      </c>
      <c r="I157" s="162">
        <v>2989.365157827837</v>
      </c>
      <c r="J157" s="162">
        <v>35402.5</v>
      </c>
      <c r="K157" s="162">
        <v>123256</v>
      </c>
      <c r="L157" s="162">
        <v>170</v>
      </c>
      <c r="M157" s="164">
        <v>55.2</v>
      </c>
      <c r="N157" s="165">
        <v>5.169</v>
      </c>
      <c r="O157" s="166">
        <v>1.57</v>
      </c>
      <c r="P157" s="162">
        <v>141.6</v>
      </c>
      <c r="Q157" s="162">
        <v>494</v>
      </c>
      <c r="R157" s="146">
        <v>24.073333333333334</v>
      </c>
      <c r="T157" s="134"/>
    </row>
    <row r="158" spans="2:20" s="108" customFormat="1" ht="15" customHeight="1">
      <c r="B158" s="58">
        <v>40238</v>
      </c>
      <c r="C158" s="162">
        <v>881128</v>
      </c>
      <c r="D158" s="162">
        <v>1105605</v>
      </c>
      <c r="E158" s="162">
        <v>231.00162702542804</v>
      </c>
      <c r="F158" s="145">
        <v>17.98225439791131</v>
      </c>
      <c r="G158" s="145">
        <v>48.28022612915723</v>
      </c>
      <c r="H158" s="162">
        <v>32497</v>
      </c>
      <c r="I158" s="162">
        <v>3237.3685736521643</v>
      </c>
      <c r="J158" s="162">
        <v>32773</v>
      </c>
      <c r="K158" s="162">
        <v>119347</v>
      </c>
      <c r="L158" s="162">
        <v>199</v>
      </c>
      <c r="M158" s="164">
        <v>58.2</v>
      </c>
      <c r="N158" s="165">
        <v>5.477</v>
      </c>
      <c r="O158" s="166">
        <v>1.67</v>
      </c>
      <c r="P158" s="162">
        <v>147.5</v>
      </c>
      <c r="Q158" s="162">
        <v>492</v>
      </c>
      <c r="R158" s="146">
        <v>23.39</v>
      </c>
      <c r="T158" s="134"/>
    </row>
    <row r="159" spans="2:20" s="108" customFormat="1" ht="15" customHeight="1">
      <c r="B159" s="58">
        <v>40269</v>
      </c>
      <c r="C159" s="162">
        <v>796121</v>
      </c>
      <c r="D159" s="162">
        <v>974771</v>
      </c>
      <c r="E159" s="162">
        <v>210.2581368159259</v>
      </c>
      <c r="F159" s="145">
        <v>20.57808744497556</v>
      </c>
      <c r="G159" s="145">
        <v>46.14348213562343</v>
      </c>
      <c r="H159" s="162">
        <v>13103</v>
      </c>
      <c r="I159" s="162">
        <v>4372.301633605601</v>
      </c>
      <c r="J159" s="162">
        <v>13307</v>
      </c>
      <c r="K159" s="162">
        <v>74538</v>
      </c>
      <c r="L159" s="162">
        <v>197</v>
      </c>
      <c r="M159" s="164">
        <v>59.5</v>
      </c>
      <c r="N159" s="165">
        <v>5.985</v>
      </c>
      <c r="O159" s="166">
        <v>1.81</v>
      </c>
      <c r="P159" s="162">
        <v>159.4</v>
      </c>
      <c r="Q159" s="162">
        <v>486</v>
      </c>
      <c r="R159" s="171">
        <v>23.723333333333333</v>
      </c>
      <c r="T159" s="134"/>
    </row>
    <row r="160" spans="2:20" s="108" customFormat="1" ht="15" customHeight="1">
      <c r="B160" s="58">
        <v>40299</v>
      </c>
      <c r="C160" s="162">
        <v>767763</v>
      </c>
      <c r="D160" s="162">
        <v>933921</v>
      </c>
      <c r="E160" s="162">
        <v>209.78143237384543</v>
      </c>
      <c r="F160" s="145">
        <v>23.882224030119836</v>
      </c>
      <c r="G160" s="145">
        <v>42.82050652550391</v>
      </c>
      <c r="H160" s="162">
        <v>19104</v>
      </c>
      <c r="I160" s="162">
        <v>4489.466907030646</v>
      </c>
      <c r="J160" s="162">
        <v>19415</v>
      </c>
      <c r="K160" s="162">
        <v>101600</v>
      </c>
      <c r="L160" s="162">
        <v>190</v>
      </c>
      <c r="M160" s="164">
        <v>55.7</v>
      </c>
      <c r="N160" s="165">
        <v>6.278</v>
      </c>
      <c r="O160" s="166">
        <v>1.885285285285285</v>
      </c>
      <c r="P160" s="162">
        <v>165.2</v>
      </c>
      <c r="Q160" s="162">
        <v>483</v>
      </c>
      <c r="R160" s="170">
        <v>24.51</v>
      </c>
      <c r="T160" s="134"/>
    </row>
    <row r="161" spans="2:20" s="108" customFormat="1" ht="15" customHeight="1">
      <c r="B161" s="58">
        <v>40330</v>
      </c>
      <c r="C161" s="162">
        <v>778337</v>
      </c>
      <c r="D161" s="162">
        <v>951312</v>
      </c>
      <c r="E161" s="162">
        <v>211.87921201844054</v>
      </c>
      <c r="F161" s="145">
        <v>22.396686046286902</v>
      </c>
      <c r="G161" s="145">
        <v>44.197985763737236</v>
      </c>
      <c r="H161" s="162">
        <v>22878</v>
      </c>
      <c r="I161" s="162">
        <v>4383.207193220777</v>
      </c>
      <c r="J161" s="162">
        <v>23175</v>
      </c>
      <c r="K161" s="162">
        <v>114957</v>
      </c>
      <c r="L161" s="162">
        <v>188</v>
      </c>
      <c r="M161" s="164">
        <v>56.6</v>
      </c>
      <c r="N161" s="165">
        <v>6.213</v>
      </c>
      <c r="O161" s="166">
        <v>1.86</v>
      </c>
      <c r="P161" s="162">
        <v>161.5</v>
      </c>
      <c r="Q161" s="162">
        <v>483</v>
      </c>
      <c r="R161" s="170">
        <v>24.65</v>
      </c>
      <c r="T161" s="134"/>
    </row>
    <row r="162" spans="2:20" s="108" customFormat="1" ht="15" customHeight="1">
      <c r="B162" s="58">
        <v>40360</v>
      </c>
      <c r="C162" s="162">
        <v>831175</v>
      </c>
      <c r="D162" s="162">
        <v>1009069</v>
      </c>
      <c r="E162" s="162">
        <v>227.84464347755824</v>
      </c>
      <c r="F162" s="145">
        <v>24.314531166268498</v>
      </c>
      <c r="G162" s="145">
        <v>42.6557582202463</v>
      </c>
      <c r="H162" s="162">
        <v>27237</v>
      </c>
      <c r="I162" s="162">
        <v>3340.1998629099176</v>
      </c>
      <c r="J162" s="162">
        <v>27615.5</v>
      </c>
      <c r="K162" s="162">
        <v>103003</v>
      </c>
      <c r="L162" s="162">
        <v>198</v>
      </c>
      <c r="M162" s="162">
        <v>58</v>
      </c>
      <c r="N162" s="144">
        <v>6.184</v>
      </c>
      <c r="O162" s="166">
        <v>1.8404761904761906</v>
      </c>
      <c r="P162" s="162">
        <v>159.4</v>
      </c>
      <c r="Q162" s="162">
        <v>478</v>
      </c>
      <c r="R162" s="170">
        <v>24.69</v>
      </c>
      <c r="T162" s="134"/>
    </row>
    <row r="163" spans="2:20" s="108" customFormat="1" ht="15" customHeight="1">
      <c r="B163" s="58">
        <v>40391</v>
      </c>
      <c r="C163" s="162">
        <v>873958</v>
      </c>
      <c r="D163" s="162">
        <v>1049082</v>
      </c>
      <c r="E163" s="162">
        <v>238.7787753685783</v>
      </c>
      <c r="F163" s="145">
        <v>24.97676291827987</v>
      </c>
      <c r="G163" s="145">
        <v>41.88832412281877</v>
      </c>
      <c r="H163" s="162">
        <v>28226</v>
      </c>
      <c r="I163" s="162">
        <v>3734.2618384401117</v>
      </c>
      <c r="J163" s="162">
        <v>28502.5</v>
      </c>
      <c r="K163" s="162">
        <v>117548</v>
      </c>
      <c r="L163" s="162">
        <v>205</v>
      </c>
      <c r="M163" s="162">
        <v>60.7</v>
      </c>
      <c r="N163" s="144">
        <v>6.158</v>
      </c>
      <c r="O163" s="166">
        <v>1.8327380952380954</v>
      </c>
      <c r="P163" s="162">
        <v>157</v>
      </c>
      <c r="Q163" s="162">
        <v>477</v>
      </c>
      <c r="R163" s="170">
        <v>24.37</v>
      </c>
      <c r="T163" s="134"/>
    </row>
    <row r="164" spans="2:20" s="108" customFormat="1" ht="15" customHeight="1">
      <c r="B164" s="58">
        <v>40422</v>
      </c>
      <c r="C164" s="162">
        <v>784077</v>
      </c>
      <c r="D164" s="162">
        <v>994403</v>
      </c>
      <c r="E164" s="162">
        <v>225.53287856680492</v>
      </c>
      <c r="F164" s="145">
        <v>24.235201532576305</v>
      </c>
      <c r="G164" s="145">
        <v>40.43629494743844</v>
      </c>
      <c r="H164" s="162">
        <v>30469</v>
      </c>
      <c r="I164" s="162">
        <v>3976.9761341925455</v>
      </c>
      <c r="J164" s="162">
        <v>30717</v>
      </c>
      <c r="K164" s="162">
        <v>139504</v>
      </c>
      <c r="L164" s="162">
        <v>192</v>
      </c>
      <c r="M164" s="162">
        <v>57.7</v>
      </c>
      <c r="N164" s="144">
        <v>6.616</v>
      </c>
      <c r="O164" s="166">
        <v>1.9597156398104265</v>
      </c>
      <c r="P164" s="162">
        <v>167.1</v>
      </c>
      <c r="Q164" s="162">
        <v>479</v>
      </c>
      <c r="R164" s="170">
        <v>24.78</v>
      </c>
      <c r="T164" s="134"/>
    </row>
    <row r="165" spans="2:20" s="108" customFormat="1" ht="15" customHeight="1">
      <c r="B165" s="58">
        <v>40452</v>
      </c>
      <c r="C165" s="162">
        <v>733897</v>
      </c>
      <c r="D165" s="162">
        <v>895613.5</v>
      </c>
      <c r="E165" s="162">
        <v>205.4427700132226</v>
      </c>
      <c r="F165" s="145">
        <v>25.035677199658892</v>
      </c>
      <c r="G165" s="145">
        <v>40.34264614599226</v>
      </c>
      <c r="H165" s="162">
        <v>19574</v>
      </c>
      <c r="I165" s="162">
        <v>4165.033496650335</v>
      </c>
      <c r="J165" s="162">
        <v>19756</v>
      </c>
      <c r="K165" s="162">
        <v>97825</v>
      </c>
      <c r="L165" s="162">
        <v>183.41291830207692</v>
      </c>
      <c r="M165" s="162">
        <v>52</v>
      </c>
      <c r="N165" s="144">
        <v>7.72</v>
      </c>
      <c r="O165" s="166">
        <v>2.3</v>
      </c>
      <c r="P165" s="162">
        <v>193.2</v>
      </c>
      <c r="Q165" s="162">
        <v>479</v>
      </c>
      <c r="R165" s="171">
        <v>28.34166666666667</v>
      </c>
      <c r="T165" s="134"/>
    </row>
    <row r="166" spans="2:20" s="108" customFormat="1" ht="15" customHeight="1">
      <c r="B166" s="58">
        <v>40483</v>
      </c>
      <c r="C166" s="162">
        <v>754681</v>
      </c>
      <c r="D166" s="162">
        <v>924839.5</v>
      </c>
      <c r="E166" s="162">
        <v>212.80656141034726</v>
      </c>
      <c r="F166" s="145">
        <v>24.92145846134199</v>
      </c>
      <c r="G166" s="145">
        <v>40.41955660507875</v>
      </c>
      <c r="H166" s="162">
        <v>21827</v>
      </c>
      <c r="I166" s="162">
        <v>5007</v>
      </c>
      <c r="J166" s="162">
        <v>22004.5</v>
      </c>
      <c r="K166" s="162">
        <v>130221</v>
      </c>
      <c r="L166" s="162">
        <v>190</v>
      </c>
      <c r="M166" s="162">
        <v>54</v>
      </c>
      <c r="N166" s="144">
        <v>8.042</v>
      </c>
      <c r="O166" s="166">
        <v>2.37</v>
      </c>
      <c r="P166" s="162">
        <v>199.4</v>
      </c>
      <c r="Q166" s="162">
        <v>482</v>
      </c>
      <c r="R166" s="171">
        <v>30.191666666666666</v>
      </c>
      <c r="T166" s="134"/>
    </row>
    <row r="167" spans="2:20" s="108" customFormat="1" ht="15" customHeight="1">
      <c r="B167" s="58">
        <v>40513</v>
      </c>
      <c r="C167" s="162">
        <v>768135</v>
      </c>
      <c r="D167" s="162">
        <v>940246</v>
      </c>
      <c r="E167" s="162">
        <v>212.12912475288073</v>
      </c>
      <c r="F167" s="145">
        <v>22.7836727649005</v>
      </c>
      <c r="G167" s="145">
        <v>40.21490564891123</v>
      </c>
      <c r="H167" s="162">
        <v>19115</v>
      </c>
      <c r="I167" s="162">
        <v>5003</v>
      </c>
      <c r="J167" s="162">
        <v>19336.5</v>
      </c>
      <c r="K167" s="162">
        <v>111659</v>
      </c>
      <c r="L167" s="162">
        <v>182.91757885190876</v>
      </c>
      <c r="M167" s="162">
        <v>53</v>
      </c>
      <c r="N167" s="144">
        <v>7.69</v>
      </c>
      <c r="O167" s="166">
        <v>2.27</v>
      </c>
      <c r="P167" s="162">
        <v>190.8</v>
      </c>
      <c r="Q167" s="162">
        <v>484</v>
      </c>
      <c r="R167" s="171">
        <v>30.395</v>
      </c>
      <c r="T167" s="134"/>
    </row>
    <row r="168" spans="2:20" s="108" customFormat="1" ht="15" customHeight="1">
      <c r="B168" s="109"/>
      <c r="C168" s="110"/>
      <c r="D168" s="110"/>
      <c r="E168" s="167"/>
      <c r="F168" s="181"/>
      <c r="G168" s="181"/>
      <c r="H168" s="181"/>
      <c r="I168" s="181"/>
      <c r="J168" s="167"/>
      <c r="K168" s="167"/>
      <c r="L168" s="167"/>
      <c r="M168" s="182"/>
      <c r="N168" s="80"/>
      <c r="O168" s="169"/>
      <c r="P168" s="167"/>
      <c r="Q168" s="167"/>
      <c r="R168" s="187"/>
      <c r="T168" s="134"/>
    </row>
    <row r="169" spans="2:18" ht="15.75">
      <c r="B169" s="152" t="s">
        <v>46</v>
      </c>
      <c r="C169" s="5"/>
      <c r="D169" s="147"/>
      <c r="E169" s="117"/>
      <c r="F169" s="148"/>
      <c r="G169" s="5"/>
      <c r="H169" s="181"/>
      <c r="I169" s="181"/>
      <c r="J169" s="149"/>
      <c r="K169" s="5"/>
      <c r="L169" s="150"/>
      <c r="M169" s="151"/>
      <c r="N169" s="5"/>
      <c r="O169" s="5"/>
      <c r="P169" s="5"/>
      <c r="Q169" s="5"/>
      <c r="R169" s="127"/>
    </row>
    <row r="170" spans="2:18" ht="15">
      <c r="B170" s="184">
        <v>2010</v>
      </c>
      <c r="C170" s="124">
        <v>9692122</v>
      </c>
      <c r="D170" s="124">
        <f>+D156+D157+D158+D159+D160+D161+D162+D163+D164+D165+D166+D167</f>
        <v>11880155</v>
      </c>
      <c r="E170" s="124">
        <f>+E156+E157+E158+E159+E160+E161+E162+E163+E164+E165+E166+E167</f>
        <v>2629.627236310025</v>
      </c>
      <c r="F170" s="178">
        <v>22.761878892041793</v>
      </c>
      <c r="G170" s="178">
        <v>43.25426821478404</v>
      </c>
      <c r="H170" s="124">
        <v>309874</v>
      </c>
      <c r="I170" s="156">
        <v>3967.4568417315277</v>
      </c>
      <c r="J170" s="124">
        <v>313132.5</v>
      </c>
      <c r="K170" s="124">
        <v>1373900</v>
      </c>
      <c r="L170" s="124">
        <v>2293.3304971539856</v>
      </c>
      <c r="M170" s="156">
        <v>56.55</v>
      </c>
      <c r="N170" s="161">
        <v>6.28875</v>
      </c>
      <c r="O170" s="155">
        <v>1.8815179342341664</v>
      </c>
      <c r="P170" s="156">
        <v>162.675</v>
      </c>
      <c r="Q170" s="156">
        <v>483.5</v>
      </c>
      <c r="R170" s="156">
        <v>25.081666666666667</v>
      </c>
    </row>
    <row r="171" spans="2:18" ht="15">
      <c r="B171" s="185">
        <v>2009</v>
      </c>
      <c r="C171" s="124">
        <v>13486332</v>
      </c>
      <c r="D171" s="124">
        <v>16053026.5</v>
      </c>
      <c r="E171" s="124">
        <v>3376.394889935141</v>
      </c>
      <c r="F171" s="178">
        <v>19.665596254530076</v>
      </c>
      <c r="G171" s="178">
        <v>49.22646603223071</v>
      </c>
      <c r="H171" s="124">
        <v>661379</v>
      </c>
      <c r="I171" s="156">
        <v>2527.6666666666665</v>
      </c>
      <c r="J171" s="124">
        <v>664841.5</v>
      </c>
      <c r="K171" s="124">
        <v>1866411</v>
      </c>
      <c r="L171" s="124">
        <v>2711.8272143330832</v>
      </c>
      <c r="M171" s="156">
        <v>68.07583333333332</v>
      </c>
      <c r="N171" s="161">
        <v>3.217166666666667</v>
      </c>
      <c r="O171" s="155">
        <v>1.0117101926040506</v>
      </c>
      <c r="P171" s="156">
        <v>95.91666666666667</v>
      </c>
      <c r="Q171" s="156">
        <v>484</v>
      </c>
      <c r="R171" s="178">
        <v>14.90486111111111</v>
      </c>
    </row>
    <row r="172" spans="2:18" ht="15">
      <c r="B172" s="185">
        <v>2008</v>
      </c>
      <c r="C172" s="124">
        <v>12209820</v>
      </c>
      <c r="D172" s="124">
        <v>14669271</v>
      </c>
      <c r="E172" s="124">
        <v>3112.231</v>
      </c>
      <c r="F172" s="178">
        <v>21.534650321684385</v>
      </c>
      <c r="G172" s="178">
        <v>48.626779229323496</v>
      </c>
      <c r="H172" s="124">
        <v>429361</v>
      </c>
      <c r="I172" s="156">
        <v>3614.6750823981033</v>
      </c>
      <c r="J172" s="124">
        <v>434730.5</v>
      </c>
      <c r="K172" s="124">
        <v>1677713</v>
      </c>
      <c r="L172" s="124">
        <v>2680.0623</v>
      </c>
      <c r="M172" s="156">
        <v>67.7670449554045</v>
      </c>
      <c r="N172" s="161">
        <v>2.967</v>
      </c>
      <c r="O172" s="155">
        <v>1.1040216049382716</v>
      </c>
      <c r="P172" s="156">
        <v>94.74328904049837</v>
      </c>
      <c r="Q172" s="156">
        <v>482.3333333333333</v>
      </c>
      <c r="R172" s="178">
        <v>12.951111111111112</v>
      </c>
    </row>
    <row r="173" spans="2:18" ht="15">
      <c r="B173" s="185">
        <v>2007</v>
      </c>
      <c r="C173" s="124">
        <v>12633388</v>
      </c>
      <c r="D173" s="124">
        <v>14973167</v>
      </c>
      <c r="E173" s="124">
        <v>3216.5919999999996</v>
      </c>
      <c r="F173" s="178">
        <v>23.744612270448936</v>
      </c>
      <c r="G173" s="178">
        <v>47.4062001631844</v>
      </c>
      <c r="H173" s="124">
        <v>539016</v>
      </c>
      <c r="I173" s="156">
        <v>2385.567487741047</v>
      </c>
      <c r="J173" s="124">
        <v>542205.5</v>
      </c>
      <c r="K173" s="124">
        <v>1449604</v>
      </c>
      <c r="L173" s="124">
        <v>2678</v>
      </c>
      <c r="M173" s="156">
        <v>68.72083333333333</v>
      </c>
      <c r="N173" s="161">
        <v>2.6307500000000004</v>
      </c>
      <c r="O173" s="155">
        <v>0.990605294447104</v>
      </c>
      <c r="P173" s="156">
        <v>94.775</v>
      </c>
      <c r="Q173" s="156">
        <v>480.0833333333333</v>
      </c>
      <c r="R173" s="178">
        <v>9.489166666666666</v>
      </c>
    </row>
    <row r="174" spans="1:20" s="39" customFormat="1" ht="15.75">
      <c r="A174" s="38"/>
      <c r="B174" s="185">
        <v>2006</v>
      </c>
      <c r="C174" s="124">
        <v>11402975</v>
      </c>
      <c r="D174" s="124">
        <v>13438696</v>
      </c>
      <c r="E174" s="124">
        <v>3039.585</v>
      </c>
      <c r="F174" s="178">
        <v>28.10314387471209</v>
      </c>
      <c r="G174" s="178">
        <v>41.528198914384596</v>
      </c>
      <c r="H174" s="124">
        <v>565057</v>
      </c>
      <c r="I174" s="156">
        <v>2269.75</v>
      </c>
      <c r="J174" s="124">
        <v>568433.5</v>
      </c>
      <c r="K174" s="124">
        <v>1312911</v>
      </c>
      <c r="L174" s="124">
        <v>2468.199</v>
      </c>
      <c r="M174" s="156">
        <v>63.64166666666666</v>
      </c>
      <c r="N174" s="161">
        <v>2.3414166666666665</v>
      </c>
      <c r="O174" s="155">
        <v>0.8956563955843168</v>
      </c>
      <c r="P174" s="156">
        <v>92.78614988368228</v>
      </c>
      <c r="Q174" s="156">
        <v>482.1666666666667</v>
      </c>
      <c r="R174" s="178">
        <v>8.901666666666666</v>
      </c>
      <c r="T174" s="132"/>
    </row>
    <row r="175" spans="2:18" ht="15">
      <c r="B175" s="185">
        <v>2005</v>
      </c>
      <c r="C175" s="124">
        <v>12030425</v>
      </c>
      <c r="D175" s="124">
        <v>14251709</v>
      </c>
      <c r="E175" s="124">
        <v>3132</v>
      </c>
      <c r="F175" s="178">
        <v>32.57710240432481</v>
      </c>
      <c r="G175" s="178">
        <v>43.18042986587228</v>
      </c>
      <c r="H175" s="124">
        <v>771427</v>
      </c>
      <c r="I175" s="156">
        <v>1673.25</v>
      </c>
      <c r="J175" s="124">
        <v>775214.5</v>
      </c>
      <c r="K175" s="124">
        <v>1389119</v>
      </c>
      <c r="L175" s="124">
        <v>2362</v>
      </c>
      <c r="M175" s="156">
        <v>61.304166666666674</v>
      </c>
      <c r="N175" s="161">
        <v>2.2548333333333335</v>
      </c>
      <c r="O175" s="155">
        <v>0.7872794167560967</v>
      </c>
      <c r="P175" s="156">
        <v>98.55</v>
      </c>
      <c r="Q175" s="156">
        <v>456</v>
      </c>
      <c r="R175" s="178">
        <v>7.868158333333334</v>
      </c>
    </row>
    <row r="176" spans="2:53" s="125" customFormat="1" ht="15">
      <c r="B176" s="185">
        <v>2004</v>
      </c>
      <c r="C176" s="124">
        <v>12028547</v>
      </c>
      <c r="D176" s="124">
        <v>14294989.5</v>
      </c>
      <c r="E176" s="124">
        <v>3024.059574440116</v>
      </c>
      <c r="F176" s="178">
        <v>29.45289329865381</v>
      </c>
      <c r="G176" s="178">
        <v>46.37070960801132</v>
      </c>
      <c r="H176" s="124">
        <v>631039</v>
      </c>
      <c r="I176" s="156">
        <v>1549</v>
      </c>
      <c r="J176" s="124">
        <v>632056</v>
      </c>
      <c r="K176" s="124">
        <v>1053070</v>
      </c>
      <c r="L176" s="124">
        <v>2394</v>
      </c>
      <c r="M176" s="156">
        <v>64.47833333333334</v>
      </c>
      <c r="N176" s="161">
        <v>1.9975</v>
      </c>
      <c r="O176" s="155">
        <v>0.683227391948911</v>
      </c>
      <c r="P176" s="156">
        <v>94.85833333333333</v>
      </c>
      <c r="Q176" s="156">
        <v>452.4166666666667</v>
      </c>
      <c r="R176" s="178">
        <v>6.541666666666667</v>
      </c>
      <c r="S176" s="154"/>
      <c r="T176" s="138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</row>
    <row r="177" spans="2:18" ht="15">
      <c r="B177" s="185">
        <v>2003</v>
      </c>
      <c r="C177" s="124">
        <v>10239325</v>
      </c>
      <c r="D177" s="124">
        <v>12531634</v>
      </c>
      <c r="E177" s="124">
        <v>2663.8393752958464</v>
      </c>
      <c r="F177" s="178">
        <v>30.679968039130113</v>
      </c>
      <c r="G177" s="178">
        <v>44.25936604097516</v>
      </c>
      <c r="H177" s="124">
        <v>378308.00022349984</v>
      </c>
      <c r="I177" s="156">
        <v>1483.7095935873067</v>
      </c>
      <c r="J177" s="124">
        <v>393423.5</v>
      </c>
      <c r="K177" s="124">
        <v>633192</v>
      </c>
      <c r="L177" s="124">
        <v>2271.6200902104947</v>
      </c>
      <c r="M177" s="156">
        <v>61.46666666666666</v>
      </c>
      <c r="N177" s="161">
        <v>1.9020833333333333</v>
      </c>
      <c r="O177" s="155">
        <v>0.6436136784453825</v>
      </c>
      <c r="P177" s="156">
        <v>96.64045308125655</v>
      </c>
      <c r="Q177" s="156">
        <v>448.5</v>
      </c>
      <c r="R177" s="178">
        <v>6.116699999999999</v>
      </c>
    </row>
    <row r="178" spans="2:18" ht="15">
      <c r="B178" s="185">
        <v>2002</v>
      </c>
      <c r="C178" s="124">
        <v>9494281</v>
      </c>
      <c r="D178" s="124">
        <v>11499447</v>
      </c>
      <c r="E178" s="124">
        <v>2525.5240000000003</v>
      </c>
      <c r="F178" s="178">
        <v>32.509866741364654</v>
      </c>
      <c r="G178" s="178">
        <v>43.144599712422085</v>
      </c>
      <c r="H178" s="124">
        <v>347047.965438</v>
      </c>
      <c r="I178" s="156">
        <v>1309.0192776685951</v>
      </c>
      <c r="J178" s="124">
        <v>348394.5</v>
      </c>
      <c r="K178" s="124">
        <v>480884</v>
      </c>
      <c r="L178" s="124">
        <v>2145.0062864384004</v>
      </c>
      <c r="M178" s="156">
        <v>59.56608221644356</v>
      </c>
      <c r="N178" s="161">
        <v>1.5204166666666667</v>
      </c>
      <c r="O178" s="155">
        <v>0.4733873550722854</v>
      </c>
      <c r="P178" s="156">
        <v>89.17933563365284</v>
      </c>
      <c r="Q178" s="156">
        <v>453.3333333333333</v>
      </c>
      <c r="R178" s="178">
        <v>4.9</v>
      </c>
    </row>
    <row r="179" spans="2:18" ht="15.75">
      <c r="B179" s="157" t="s">
        <v>47</v>
      </c>
      <c r="C179" s="158" t="s">
        <v>54</v>
      </c>
      <c r="D179" s="158"/>
      <c r="E179" s="158"/>
      <c r="F179" s="158"/>
      <c r="G179" s="158"/>
      <c r="H179" s="158"/>
      <c r="I179" s="158"/>
      <c r="J179" s="158"/>
      <c r="K179" s="158"/>
      <c r="L179" s="158"/>
      <c r="M179" s="159"/>
      <c r="N179" s="158"/>
      <c r="O179" s="158"/>
      <c r="P179" s="158"/>
      <c r="Q179" s="158"/>
      <c r="R179" s="159"/>
    </row>
    <row r="180" spans="2:18" ht="12.75">
      <c r="B180" s="6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43"/>
      <c r="N180" s="5"/>
      <c r="O180" s="5"/>
      <c r="P180" s="5"/>
      <c r="Q180" s="5"/>
      <c r="R180" s="43"/>
    </row>
    <row r="181" spans="2:18" ht="12.75">
      <c r="B181" s="179" t="s">
        <v>48</v>
      </c>
      <c r="C181" s="160">
        <v>-28.133743111173594</v>
      </c>
      <c r="D181" s="160">
        <f>+(D170/D171-1)*100</f>
        <v>-25.99429771077747</v>
      </c>
      <c r="E181" s="160">
        <f>+(E170/E171-1)*100</f>
        <v>-22.117307896987747</v>
      </c>
      <c r="F181" s="160">
        <v>15.744666967819354</v>
      </c>
      <c r="G181" s="160">
        <v>-12.132087266911284</v>
      </c>
      <c r="H181" s="160">
        <v>-53.14728771249162</v>
      </c>
      <c r="I181" s="160">
        <v>56.96123599096114</v>
      </c>
      <c r="J181" s="160">
        <v>-52.901180206109274</v>
      </c>
      <c r="K181" s="160">
        <v>-26.388132088805737</v>
      </c>
      <c r="L181" s="160">
        <v>-15.432278095270103</v>
      </c>
      <c r="M181" s="160">
        <v>-16.93087365805288</v>
      </c>
      <c r="N181" s="160">
        <v>95.474796663731</v>
      </c>
      <c r="O181" s="160">
        <v>85.97400204018003</v>
      </c>
      <c r="P181" s="160">
        <v>69.60034752389228</v>
      </c>
      <c r="Q181" s="160">
        <v>-0.10330578512396382</v>
      </c>
      <c r="R181" s="188">
        <v>68.27843265153987</v>
      </c>
    </row>
    <row r="182" spans="2:18" ht="12.75">
      <c r="B182" s="179" t="s">
        <v>49</v>
      </c>
      <c r="C182" s="160">
        <v>-20.620271224309615</v>
      </c>
      <c r="D182" s="160">
        <f>+(D170/D172-1)*100</f>
        <v>-19.013323838655648</v>
      </c>
      <c r="E182" s="160">
        <f>+(E170/E172-1)*100</f>
        <v>-15.506681981188898</v>
      </c>
      <c r="F182" s="160">
        <v>5.698855342552944</v>
      </c>
      <c r="G182" s="160">
        <v>-11.048461567242063</v>
      </c>
      <c r="H182" s="160">
        <v>-27.829029651039573</v>
      </c>
      <c r="I182" s="160">
        <v>9.759708723235416</v>
      </c>
      <c r="J182" s="160">
        <v>-27.970892311443528</v>
      </c>
      <c r="K182" s="160">
        <v>-18.108758768633248</v>
      </c>
      <c r="L182" s="160">
        <v>-14.42995570834359</v>
      </c>
      <c r="M182" s="160">
        <v>-16.552359576525877</v>
      </c>
      <c r="N182" s="160">
        <v>111.95652173913042</v>
      </c>
      <c r="O182" s="160">
        <v>70.4240139702127</v>
      </c>
      <c r="P182" s="160">
        <v>71.70081559071058</v>
      </c>
      <c r="Q182" s="160">
        <v>0.2418797512093951</v>
      </c>
      <c r="R182" s="188">
        <v>93.66420727522305</v>
      </c>
    </row>
    <row r="183" spans="2:18" ht="12.75">
      <c r="B183" s="179" t="s">
        <v>50</v>
      </c>
      <c r="C183" s="160">
        <v>-23.281688174225312</v>
      </c>
      <c r="D183" s="160">
        <f>+(D170/D173-1)*100</f>
        <v>-20.657032677188468</v>
      </c>
      <c r="E183" s="160">
        <f>+(E170/E173-1)*100</f>
        <v>-18.24803281516507</v>
      </c>
      <c r="F183" s="160">
        <v>-4.138763637047016</v>
      </c>
      <c r="G183" s="160">
        <v>-8.75820448403023</v>
      </c>
      <c r="H183" s="160">
        <v>-42.511168499636376</v>
      </c>
      <c r="I183" s="160">
        <v>66.31081963178542</v>
      </c>
      <c r="J183" s="160">
        <v>-42.24837261886868</v>
      </c>
      <c r="K183" s="160">
        <v>-5.222391770442137</v>
      </c>
      <c r="L183" s="160">
        <v>-14.36405910552705</v>
      </c>
      <c r="M183" s="160">
        <v>-17.71054386709512</v>
      </c>
      <c r="N183" s="160">
        <v>139.0478000570179</v>
      </c>
      <c r="O183" s="160">
        <v>89.9361879833598</v>
      </c>
      <c r="P183" s="160">
        <v>71.64336586652603</v>
      </c>
      <c r="Q183" s="160">
        <v>0.7116819996528356</v>
      </c>
      <c r="R183" s="188">
        <v>164.31896021779227</v>
      </c>
    </row>
    <row r="184" spans="2:18" ht="12.75">
      <c r="B184" s="179" t="s">
        <v>51</v>
      </c>
      <c r="C184" s="160">
        <v>-15.003567051580834</v>
      </c>
      <c r="D184" s="160">
        <f>+(D170/D174-1)*100</f>
        <v>-11.597412427515286</v>
      </c>
      <c r="E184" s="160">
        <f>+(E170/E174-1)*100</f>
        <v>-13.487293946047728</v>
      </c>
      <c r="F184" s="160">
        <v>-19.00593402105627</v>
      </c>
      <c r="G184" s="160">
        <v>4.156378907638025</v>
      </c>
      <c r="H184" s="160">
        <v>-45.160576720578625</v>
      </c>
      <c r="I184" s="160">
        <v>74.79708521782256</v>
      </c>
      <c r="J184" s="160">
        <v>-44.913081301506686</v>
      </c>
      <c r="K184" s="160">
        <v>4.6453263016305035</v>
      </c>
      <c r="L184" s="160">
        <v>-7.084862397481507</v>
      </c>
      <c r="M184" s="160">
        <v>-11.143119025795457</v>
      </c>
      <c r="N184" s="160">
        <v>168.58739367192226</v>
      </c>
      <c r="O184" s="160">
        <v>110.07140054045882</v>
      </c>
      <c r="P184" s="160">
        <v>75.32250255445574</v>
      </c>
      <c r="Q184" s="160">
        <v>0.27652955409609437</v>
      </c>
      <c r="R184" s="188">
        <v>181.76371466017605</v>
      </c>
    </row>
    <row r="185" spans="2:18" ht="13.5" thickBot="1">
      <c r="B185" s="180" t="s">
        <v>52</v>
      </c>
      <c r="C185" s="186">
        <v>-19.436578508240565</v>
      </c>
      <c r="D185" s="186">
        <f>+(D170/D175-1)*100</f>
        <v>-16.640488519657538</v>
      </c>
      <c r="E185" s="186">
        <f>+(E170/E175-1)*100</f>
        <v>-16.039998840676084</v>
      </c>
      <c r="F185" s="186">
        <v>-30.1292097451245</v>
      </c>
      <c r="G185" s="186">
        <v>0.17099956888138035</v>
      </c>
      <c r="H185" s="186">
        <v>-59.83106632254251</v>
      </c>
      <c r="I185" s="186">
        <v>137.1108227540133</v>
      </c>
      <c r="J185" s="186">
        <v>-59.606986195433656</v>
      </c>
      <c r="K185" s="186">
        <v>-1.0955864832314588</v>
      </c>
      <c r="L185" s="186">
        <v>-2.9072609164273677</v>
      </c>
      <c r="M185" s="186">
        <v>-7.755046557466194</v>
      </c>
      <c r="N185" s="186">
        <v>178.90087959198752</v>
      </c>
      <c r="O185" s="186">
        <v>138.98985470581286</v>
      </c>
      <c r="P185" s="186">
        <v>65.06849315068494</v>
      </c>
      <c r="Q185" s="186">
        <v>6.030701754385959</v>
      </c>
      <c r="R185" s="189">
        <v>218.77430021214198</v>
      </c>
    </row>
    <row r="187" ht="12.75">
      <c r="B187" s="153" t="s">
        <v>55</v>
      </c>
    </row>
    <row r="188" ht="12.75">
      <c r="B188" s="153" t="s">
        <v>53</v>
      </c>
    </row>
  </sheetData>
  <mergeCells count="10">
    <mergeCell ref="C5:D5"/>
    <mergeCell ref="N6:P6"/>
    <mergeCell ref="L5:M5"/>
    <mergeCell ref="N5:Q5"/>
    <mergeCell ref="C6:D6"/>
    <mergeCell ref="F6:G6"/>
    <mergeCell ref="H6:I6"/>
    <mergeCell ref="J6:K6"/>
    <mergeCell ref="H5:K5"/>
    <mergeCell ref="F5:G5"/>
  </mergeCells>
  <printOptions/>
  <pageMargins left="1.6141732283464567" right="0.7874015748031497" top="0.6692913385826772" bottom="0.57" header="0.5905511811023623" footer="0.31496062992125984"/>
  <pageSetup fitToHeight="1" fitToWidth="1" horizontalDpi="96" verticalDpi="96" orientation="landscape" paperSize="9" scale="22" r:id="rId3"/>
  <headerFooter alignWithMargins="0">
    <oddHeader>&amp;CINDICADORES PECUARIOS</oddHeader>
    <oddFooter>&amp;CFuente: Elaborado a partir de datos SAGPyA, Area de Mercados Ganaderos, SENASA, INDEC y estimaciones propias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Gerencia</cp:lastModifiedBy>
  <dcterms:created xsi:type="dcterms:W3CDTF">2009-10-05T19:49:07Z</dcterms:created>
  <dcterms:modified xsi:type="dcterms:W3CDTF">2011-06-08T19:02:21Z</dcterms:modified>
  <cp:category/>
  <cp:version/>
  <cp:contentType/>
  <cp:contentStatus/>
</cp:coreProperties>
</file>